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user\talousarvio\2018\Uudet toiminnot\"/>
    </mc:Choice>
  </mc:AlternateContent>
  <bookViews>
    <workbookView xWindow="120" yWindow="150" windowWidth="23250" windowHeight="12075"/>
  </bookViews>
  <sheets>
    <sheet name="Taul1" sheetId="1" r:id="rId1"/>
    <sheet name="Taul2" sheetId="2" r:id="rId2"/>
    <sheet name="Taul3" sheetId="3" r:id="rId3"/>
    <sheet name="Taul4" sheetId="4" r:id="rId4"/>
    <sheet name="Taul5" sheetId="5" r:id="rId5"/>
  </sheets>
  <externalReferences>
    <externalReference r:id="rId6"/>
    <externalReference r:id="rId7"/>
  </externalReferences>
  <definedNames>
    <definedName name="_xlnm.Print_Area" localSheetId="0">Taul1!$A$1:$S$77</definedName>
    <definedName name="_xlnm.Print_Titles" localSheetId="0">Taul1!$1:$2</definedName>
  </definedNames>
  <calcPr calcId="162913"/>
</workbook>
</file>

<file path=xl/calcChain.xml><?xml version="1.0" encoding="utf-8"?>
<calcChain xmlns="http://schemas.openxmlformats.org/spreadsheetml/2006/main">
  <c r="C60" i="1" l="1"/>
  <c r="C46" i="1"/>
  <c r="C29" i="1"/>
  <c r="C77" i="1" l="1"/>
  <c r="N74" i="1"/>
  <c r="I72" i="1"/>
  <c r="H72" i="1"/>
  <c r="I69" i="1"/>
  <c r="H69" i="1"/>
  <c r="D66" i="1"/>
  <c r="H66" i="1" s="1"/>
  <c r="D65" i="1"/>
  <c r="D74" i="1" l="1"/>
  <c r="K69" i="1"/>
  <c r="M69" i="1" s="1"/>
  <c r="I66" i="1"/>
  <c r="K66" i="1" s="1"/>
  <c r="M66" i="1" s="1"/>
  <c r="K72" i="1"/>
  <c r="O72" i="1" s="1"/>
  <c r="O74" i="1" s="1"/>
  <c r="H65" i="1"/>
  <c r="I65" i="1"/>
  <c r="D37" i="1"/>
  <c r="I37" i="1" s="1"/>
  <c r="K65" i="1" l="1"/>
  <c r="H37" i="1"/>
  <c r="K37" i="1" s="1"/>
  <c r="M65" i="1" l="1"/>
  <c r="M74" i="1" s="1"/>
  <c r="K74" i="1"/>
  <c r="N12" i="1" l="1"/>
  <c r="S46" i="1" l="1"/>
  <c r="R46" i="1"/>
  <c r="Q46" i="1"/>
  <c r="P46" i="1"/>
  <c r="O46" i="1"/>
  <c r="J46" i="1"/>
  <c r="G46" i="1"/>
  <c r="I27" i="1"/>
  <c r="I11" i="1"/>
  <c r="G6" i="1"/>
  <c r="H51" i="1" l="1"/>
  <c r="I51" i="1"/>
  <c r="K51" i="1" l="1"/>
  <c r="N51" i="1" s="1"/>
  <c r="J60" i="1"/>
  <c r="O60" i="1"/>
  <c r="P60" i="1"/>
  <c r="Q60" i="1"/>
  <c r="R60" i="1"/>
  <c r="S60" i="1"/>
  <c r="H60" i="1"/>
  <c r="G60" i="1"/>
  <c r="I42" i="1"/>
  <c r="I41" i="1"/>
  <c r="H42" i="1"/>
  <c r="H41" i="1"/>
  <c r="S29" i="1"/>
  <c r="R29" i="1"/>
  <c r="P29" i="1"/>
  <c r="O29" i="1"/>
  <c r="J29" i="1"/>
  <c r="K58" i="1"/>
  <c r="I55" i="1"/>
  <c r="K55" i="1" s="1"/>
  <c r="N55" i="1" s="1"/>
  <c r="D60" i="1"/>
  <c r="D44" i="1"/>
  <c r="I44" i="1" s="1"/>
  <c r="D43" i="1"/>
  <c r="H43" i="1" s="1"/>
  <c r="D40" i="1"/>
  <c r="I40" i="1" s="1"/>
  <c r="D34" i="1"/>
  <c r="O77" i="1" l="1"/>
  <c r="I34" i="1"/>
  <c r="D46" i="1"/>
  <c r="J77" i="1"/>
  <c r="R77" i="1"/>
  <c r="H44" i="1"/>
  <c r="K44" i="1" s="1"/>
  <c r="M44" i="1" s="1"/>
  <c r="S77" i="1"/>
  <c r="K42" i="1"/>
  <c r="M42" i="1" s="1"/>
  <c r="I43" i="1"/>
  <c r="H34" i="1"/>
  <c r="P77" i="1"/>
  <c r="K41" i="1"/>
  <c r="M41" i="1" s="1"/>
  <c r="H40" i="1"/>
  <c r="I60" i="1"/>
  <c r="K60" i="1"/>
  <c r="N60" i="1"/>
  <c r="M60" i="1"/>
  <c r="K34" i="1" l="1"/>
  <c r="H46" i="1"/>
  <c r="I46" i="1"/>
  <c r="N41" i="1"/>
  <c r="N46" i="1" s="1"/>
  <c r="K43" i="1"/>
  <c r="M43" i="1" s="1"/>
  <c r="K40" i="1"/>
  <c r="M22" i="1"/>
  <c r="M34" i="1" l="1"/>
  <c r="K46" i="1"/>
  <c r="M40" i="1"/>
  <c r="G22" i="1"/>
  <c r="G29" i="1" s="1"/>
  <c r="G77" i="1" s="1"/>
  <c r="M46" i="1" l="1"/>
  <c r="K22" i="1"/>
  <c r="K23" i="1" l="1"/>
  <c r="K10" i="1" l="1"/>
  <c r="K9" i="1"/>
  <c r="I6" i="1" l="1"/>
  <c r="I29" i="1" l="1"/>
  <c r="I77" i="1" s="1"/>
  <c r="Q29" i="1"/>
  <c r="Q77" i="1" s="1"/>
  <c r="H29" i="1"/>
  <c r="H77" i="1" s="1"/>
  <c r="V51" i="3"/>
  <c r="U51" i="3"/>
  <c r="J51" i="3"/>
  <c r="I51" i="3"/>
  <c r="V11" i="3"/>
  <c r="U11" i="3"/>
  <c r="J11" i="3"/>
  <c r="I11" i="3"/>
  <c r="O81" i="3"/>
  <c r="O79" i="3"/>
  <c r="O80" i="3"/>
  <c r="O78" i="3"/>
  <c r="V73" i="3"/>
  <c r="V71" i="3"/>
  <c r="V72" i="3"/>
  <c r="V70" i="3"/>
  <c r="U73" i="3"/>
  <c r="U72" i="3"/>
  <c r="U71" i="3"/>
  <c r="U70" i="3"/>
  <c r="K66" i="3"/>
  <c r="K64" i="3"/>
  <c r="K65" i="3"/>
  <c r="K63" i="3"/>
  <c r="J66" i="3"/>
  <c r="J65" i="3"/>
  <c r="J64" i="3"/>
  <c r="J63" i="3"/>
  <c r="W33" i="3"/>
  <c r="W31" i="3"/>
  <c r="W32" i="3"/>
  <c r="W30" i="3"/>
  <c r="I35" i="3"/>
  <c r="I36" i="3" s="1"/>
  <c r="V33" i="3"/>
  <c r="V32" i="3"/>
  <c r="V31" i="3"/>
  <c r="I33" i="3"/>
  <c r="V30" i="3"/>
  <c r="J34" i="3"/>
  <c r="J35" i="3"/>
  <c r="J33" i="3"/>
  <c r="I34" i="3"/>
  <c r="E80" i="3"/>
  <c r="E79" i="3"/>
  <c r="E78" i="3"/>
  <c r="D80" i="3"/>
  <c r="D79" i="3"/>
  <c r="C80" i="3"/>
  <c r="E35" i="3"/>
  <c r="E34" i="3"/>
  <c r="E33" i="3"/>
  <c r="D35" i="3"/>
  <c r="C35" i="3"/>
  <c r="N10" i="1"/>
  <c r="M10" i="1"/>
  <c r="N9" i="1"/>
  <c r="M9" i="1"/>
  <c r="F38" i="2"/>
  <c r="E38" i="2"/>
  <c r="E37" i="2"/>
  <c r="E35" i="2"/>
  <c r="F35" i="2" s="1"/>
  <c r="E34" i="2"/>
  <c r="E26" i="2"/>
  <c r="E25" i="2"/>
  <c r="F26" i="2" s="1"/>
  <c r="E24" i="2"/>
  <c r="F3" i="2"/>
  <c r="J36" i="3" l="1"/>
  <c r="D11" i="1" l="1"/>
  <c r="K11" i="1" s="1"/>
  <c r="D27" i="1"/>
  <c r="K27" i="1" s="1"/>
  <c r="D26" i="1"/>
  <c r="K26" i="1" s="1"/>
  <c r="N27" i="1" l="1"/>
  <c r="M27" i="1"/>
  <c r="M11" i="1"/>
  <c r="N11" i="1"/>
  <c r="D12" i="1" l="1"/>
  <c r="D18" i="1" l="1"/>
  <c r="D19" i="1"/>
  <c r="D15" i="1"/>
  <c r="K16" i="1" l="1"/>
  <c r="D6" i="1"/>
  <c r="D29" i="1" s="1"/>
  <c r="D77" i="1" s="1"/>
  <c r="K6" i="1" l="1"/>
  <c r="K29" i="1" s="1"/>
  <c r="K77" i="1" s="1"/>
  <c r="N6" i="1" l="1"/>
  <c r="N29" i="1" s="1"/>
  <c r="N77" i="1" s="1"/>
  <c r="M6" i="1"/>
  <c r="M29" i="1" s="1"/>
  <c r="M77" i="1" s="1"/>
</calcChain>
</file>

<file path=xl/comments1.xml><?xml version="1.0" encoding="utf-8"?>
<comments xmlns="http://schemas.openxmlformats.org/spreadsheetml/2006/main">
  <authors>
    <author>Heini Koskenvuori</author>
  </authors>
  <commentList>
    <comment ref="G22" authorId="0" shapeId="0">
      <text>
        <r>
          <rPr>
            <sz val="9"/>
            <color indexed="81"/>
            <rFont val="Tahoma"/>
            <family val="2"/>
          </rPr>
          <t>80 potilasta vähemmän, lääkesäästö laskettu ka tuotteista 
404C ja 403</t>
        </r>
      </text>
    </comment>
  </commentList>
</comments>
</file>

<file path=xl/sharedStrings.xml><?xml version="1.0" encoding="utf-8"?>
<sst xmlns="http://schemas.openxmlformats.org/spreadsheetml/2006/main" count="405" uniqueCount="174">
  <si>
    <t>Uudet vakanssiesitykset 2018</t>
  </si>
  <si>
    <t>Uusi toiminta</t>
  </si>
  <si>
    <t>Sydänkeskus</t>
  </si>
  <si>
    <t>Sairaanhoitaja</t>
  </si>
  <si>
    <t>Hoitotyön palveluyksikkö</t>
  </si>
  <si>
    <t>Erikoislääkäri</t>
  </si>
  <si>
    <t>Medisiininen keskus</t>
  </si>
  <si>
    <t>TULES</t>
  </si>
  <si>
    <t>Naistentaudit</t>
  </si>
  <si>
    <t>Syöpätaudit</t>
  </si>
  <si>
    <t>Neurokeskus</t>
  </si>
  <si>
    <t>uusi</t>
  </si>
  <si>
    <t>MUUT</t>
  </si>
  <si>
    <t>lastenneurologi</t>
  </si>
  <si>
    <t>palliatiivinen hoito</t>
  </si>
  <si>
    <t>hematologia</t>
  </si>
  <si>
    <t>neuromodulaatio</t>
  </si>
  <si>
    <t>sijaistarpeiden lisääntyminen</t>
  </si>
  <si>
    <t>hybridisali</t>
  </si>
  <si>
    <t>Kuvantamiskeskus</t>
  </si>
  <si>
    <t>C4110</t>
  </si>
  <si>
    <t>Fyysikko</t>
  </si>
  <si>
    <t xml:space="preserve">videotelemetria </t>
  </si>
  <si>
    <t>C4201</t>
  </si>
  <si>
    <t>Röntgenhoitaja</t>
  </si>
  <si>
    <t>C4230</t>
  </si>
  <si>
    <t>Laboratoriohoitaja</t>
  </si>
  <si>
    <t>B2251</t>
  </si>
  <si>
    <t>B3253</t>
  </si>
  <si>
    <t>A4601</t>
  </si>
  <si>
    <t>A4611</t>
  </si>
  <si>
    <t>lisääntynyt tarve, vakanssi teho-osastolle</t>
  </si>
  <si>
    <t>asetuksen perusteella ulkokuntamyyntiä, rytmikardiologia</t>
  </si>
  <si>
    <t>Päivystys, teho ja heräämö</t>
  </si>
  <si>
    <t>Yhteensä</t>
  </si>
  <si>
    <t>sydänvalvonta, IM-toiminta, korvaa vierihoitoa</t>
  </si>
  <si>
    <t>Med.keskuksen valvontapaikat keuhkosair. os:lla, korvaa vierihoitoa</t>
  </si>
  <si>
    <t>Neurokeskuksen valvontapaikat NKI-osastolla, korvaa vierihoitoa</t>
  </si>
  <si>
    <t>Tarvikkeet</t>
  </si>
  <si>
    <t>Palvelut</t>
  </si>
  <si>
    <t>Sisäiset menot</t>
  </si>
  <si>
    <t>Muut</t>
  </si>
  <si>
    <t>Laskutuksessa käytettävät suoritteet/tuotteet</t>
  </si>
  <si>
    <t>Laskutuksen jakautuminen</t>
  </si>
  <si>
    <t>Jäsenkunta</t>
  </si>
  <si>
    <t>Ulkokunta</t>
  </si>
  <si>
    <t>Toimintojen lisäys</t>
  </si>
  <si>
    <t>Käynnit</t>
  </si>
  <si>
    <t>RINTASYÖPÄKESKUS</t>
  </si>
  <si>
    <t>Henkilöstökulut</t>
  </si>
  <si>
    <t>Palvelujen ostot</t>
  </si>
  <si>
    <t>- rtg-palvelut</t>
  </si>
  <si>
    <t>(1 erikoislääkäri 94.549 €, 1 röntgenhoitaja 43.009 €)</t>
  </si>
  <si>
    <t>Investoinnit</t>
  </si>
  <si>
    <t>- rtg-laite</t>
  </si>
  <si>
    <t>(7 v käyttöajalla vuosipoisto 14.286 €)</t>
  </si>
  <si>
    <t>SYDÄNKESKUS</t>
  </si>
  <si>
    <t>20 * M10K35, 30 * M10K49, 30 * M10K50</t>
  </si>
  <si>
    <t>- kardiologia</t>
  </si>
  <si>
    <t>M10K35</t>
  </si>
  <si>
    <t>M10K49</t>
  </si>
  <si>
    <t>M10K50</t>
  </si>
  <si>
    <t>NEUROKESKUS</t>
  </si>
  <si>
    <t>- erikoislääkäri</t>
  </si>
  <si>
    <t>mm. DRG461+570=450 000€</t>
  </si>
  <si>
    <t xml:space="preserve">     jk</t>
  </si>
  <si>
    <t xml:space="preserve">    uk</t>
  </si>
  <si>
    <t>P-suoritteet 320.000 €</t>
  </si>
  <si>
    <t>Suorite H24C01 </t>
  </si>
  <si>
    <t>Uusi K-suorite</t>
  </si>
  <si>
    <t>Kustannuslaskennan mukaan uusi suorite "kardiologian konsultaatio päivystyksessä", arviohinta noin 50 EUR, vuositasolla noin 120 000 EUR. Palkan maksaa kardiologia ja työpanos kertyy päivystykseen. Sisäinen tulo kardiologialle.</t>
  </si>
  <si>
    <t>MK10K13, M10K14, M10K35, M10K41,M10K48, M10K49, M10K50, M10K51, 1110K30, 110K31, 11K32, 112O,1250O, 905O</t>
  </si>
  <si>
    <t xml:space="preserve">Resurssi mahdollistaa toiminnan lisäyksen + ERVA-palvelut </t>
  </si>
  <si>
    <t>Resurssia tarvitaan myös valtakunnalliseen koordinaatioon.</t>
  </si>
  <si>
    <t>M999998, M99999</t>
  </si>
  <si>
    <t>Verisuonitoimenpiteitä</t>
  </si>
  <si>
    <t>Video-EEG-tutkimus,          Video-EEG-tutkimus, kallonsisäinen (4906, 4907, 4910)</t>
  </si>
  <si>
    <t>Tuotteet Kudoksensisäinen sädehoito (367A ja 366) ja Gynekologisen syövän radikaalihoito (353, 355)</t>
  </si>
  <si>
    <t>Tuotteen suoritteet</t>
  </si>
  <si>
    <t>Ajalta: 01.01.2016 – 31.12.2016</t>
  </si>
  <si>
    <t>Yksikkö: PY190 Syöpäkeskus, naistentaudit ja synnytykset</t>
  </si>
  <si>
    <t>Tuotekoodi: 367A Gynekologinen syöpä, ei komplisoitunut, sädehoito</t>
  </si>
  <si>
    <t>Tuotepäätösten lkm: 46</t>
  </si>
  <si>
    <t>Suoritelaji</t>
  </si>
  <si>
    <t>Suorite-</t>
  </si>
  <si>
    <t>määrä</t>
  </si>
  <si>
    <t>Keskim.</t>
  </si>
  <si>
    <t>suorite-</t>
  </si>
  <si>
    <t>hinta €</t>
  </si>
  <si>
    <t>Kustannus</t>
  </si>
  <si>
    <t>per tuote</t>
  </si>
  <si>
    <t>€</t>
  </si>
  <si>
    <t>hinta</t>
  </si>
  <si>
    <t>yht. €</t>
  </si>
  <si>
    <t>ITSE TUOTETUT SUORITTEET</t>
  </si>
  <si>
    <t>H</t>
  </si>
  <si>
    <t>Hoitopäivä</t>
  </si>
  <si>
    <t>KL</t>
  </si>
  <si>
    <t>Käsilisälaskutus</t>
  </si>
  <si>
    <t>M</t>
  </si>
  <si>
    <t>Muu toimenpide</t>
  </si>
  <si>
    <t>S</t>
  </si>
  <si>
    <t>Sädehoito</t>
  </si>
  <si>
    <t>TP</t>
  </si>
  <si>
    <t>Toimenpide</t>
  </si>
  <si>
    <t>UA</t>
  </si>
  <si>
    <t>Ulkokenttäanestesia</t>
  </si>
  <si>
    <t>Z</t>
  </si>
  <si>
    <t>Potilaskuljetus</t>
  </si>
  <si>
    <t>Itse tuotetut suoritteet yhteensä</t>
  </si>
  <si>
    <t>OSTETUT SUORITTEET</t>
  </si>
  <si>
    <t>B</t>
  </si>
  <si>
    <t>Mikrob. tutkimus</t>
  </si>
  <si>
    <t>F</t>
  </si>
  <si>
    <t>Kl.fys. tutkimus</t>
  </si>
  <si>
    <t>G</t>
  </si>
  <si>
    <t>Fysio- ja toim.ter.</t>
  </si>
  <si>
    <t>K</t>
  </si>
  <si>
    <t>Konsultaatio</t>
  </si>
  <si>
    <t>L</t>
  </si>
  <si>
    <t>Laboratoriotutkimus</t>
  </si>
  <si>
    <t>O</t>
  </si>
  <si>
    <t>Patol. tutkimus</t>
  </si>
  <si>
    <t>R</t>
  </si>
  <si>
    <t>RTG-tutkimus</t>
  </si>
  <si>
    <t>V</t>
  </si>
  <si>
    <t>Verituotteet</t>
  </si>
  <si>
    <t>Ostetut suoritteet yhteensä</t>
  </si>
  <si>
    <t>Suoritteet yhteensä</t>
  </si>
  <si>
    <t>Tuotekoodi: 366 Gynekologinen syöpä, komplisoitunut</t>
  </si>
  <si>
    <t>Tuotepäätösten lkm: 76</t>
  </si>
  <si>
    <t>P</t>
  </si>
  <si>
    <t>PKL-käynti</t>
  </si>
  <si>
    <t>PT</t>
  </si>
  <si>
    <t>Pientoimenpide</t>
  </si>
  <si>
    <t>TA</t>
  </si>
  <si>
    <t>C</t>
  </si>
  <si>
    <t>Potilaskohtaiset lääkkeet</t>
  </si>
  <si>
    <t>I</t>
  </si>
  <si>
    <t>Tehohoito</t>
  </si>
  <si>
    <t>Tuotekoodi: 353 Gynekologisen syövän radikaalihoito</t>
  </si>
  <si>
    <t>Tuotepäätösten lkm: 55</t>
  </si>
  <si>
    <t>Tuotekoodi: 355 Kohdun ja sivuel. leikk. muun kuin munasarjojen ja sivuel. pahanlaat. kasvaimen takia, ei kompl.</t>
  </si>
  <si>
    <t>Tuotepäätösten lkm: 62</t>
  </si>
  <si>
    <t>D</t>
  </si>
  <si>
    <t>DNA- ja krom.tutk.</t>
  </si>
  <si>
    <t>Toimintaa jo kokeiltu pilottimaisesti ja lääkärin palkka maksettu määräaikaisten palkoista. Mikäli toimintaa ei voida jatkaa niin vastaava määrä toimenpiteitä jää toteutumatta.</t>
  </si>
  <si>
    <t>Tarvikelisäys liittyy sydänvalvonnan paikkaluvun lisäykseen. Lisätty koulutus 1 % palveluihin ja sisäisiin menoihin 10 %.</t>
  </si>
  <si>
    <t>PD6ZT   PD7ZT   PG1PT   PGIUT  PD3YT  PD4CC  ZXH00 ja ZXH01 PDQ05 PD605PEA23 FME20, FME22 M10K54 / ICD 4578, 479, 104C, 115C,  ulkokuntapaketti 120423</t>
  </si>
  <si>
    <t>laaja konsultaatio, suppea konsultaatio</t>
  </si>
  <si>
    <t>päivystyskäynnit ja hoitojaksot vähenee</t>
  </si>
  <si>
    <t>H10315</t>
  </si>
  <si>
    <t>92 hoitojaksoa</t>
  </si>
  <si>
    <t>M99998, M99999</t>
  </si>
  <si>
    <t>Sopimus-laskutus</t>
  </si>
  <si>
    <t>Toimen-piteet</t>
  </si>
  <si>
    <t>Hoito-päivät</t>
  </si>
  <si>
    <t>Sydänkeskuksen kardiologi päivystysalueelle</t>
  </si>
  <si>
    <t>päivystysosaston riittämätön erl-resurssi</t>
  </si>
  <si>
    <t>päivystys- ja akuuttiosaston tarve</t>
  </si>
  <si>
    <t>Asetuksen perusteella</t>
  </si>
  <si>
    <t>ERVA-alueen vaativan esh:n keskittäminen</t>
  </si>
  <si>
    <t>ulkokuntamyynti, syöpäkirurga keskitetään KYSiin</t>
  </si>
  <si>
    <t>KAIKKI YHTEENSÄ</t>
  </si>
  <si>
    <t>Hpv, pkl. Tmp, jaksot</t>
  </si>
  <si>
    <t>Ortopedian hoitotakuussa pysyminen</t>
  </si>
  <si>
    <t>Tarvikkeet, palvelut, määrät?</t>
  </si>
  <si>
    <t>ISAn ja VASin leikkaustoiminnan loppuminen</t>
  </si>
  <si>
    <t>Anestesiologia ja tehohoito</t>
  </si>
  <si>
    <t>Ylilääkäri</t>
  </si>
  <si>
    <t>Iisalmen ja varkauden dialyysiosastot, nefrologia</t>
  </si>
  <si>
    <t>SIIRTYY LAINSÄÄDÄNNÖN PERUSTEELLA ALUESAIRAALOISTA KYSiin</t>
  </si>
  <si>
    <t>Kustannukset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</si>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</sst>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9"/>
      <color theme="1"/>
      <name val="Arial"/>
      <family val="2"/>
    </font>
    <font>
      <b/>
      <sz val="18"/>
      <color theme="1"/>
      <name val="Arial"/>
      <family val="2"/>
    </font>
    <font>
      <b/>
      <sz val="9.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C0C0C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5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7" borderId="0" xfId="0" applyFont="1" applyFill="1"/>
    <xf numFmtId="0" fontId="6" fillId="0" borderId="0" xfId="0" applyFont="1"/>
    <xf numFmtId="3" fontId="0" fillId="0" borderId="0" xfId="0" applyNumberFormat="1"/>
    <xf numFmtId="0" fontId="0" fillId="0" borderId="0" xfId="0" quotePrefix="1"/>
    <xf numFmtId="3" fontId="3" fillId="0" borderId="0" xfId="0" applyNumberFormat="1" applyFont="1" applyFill="1" applyBorder="1" applyAlignment="1"/>
    <xf numFmtId="0" fontId="3" fillId="0" borderId="0" xfId="0" applyFont="1" applyFill="1" applyBorder="1"/>
    <xf numFmtId="9" fontId="3" fillId="0" borderId="0" xfId="0" applyNumberFormat="1" applyFont="1" applyFill="1" applyBorder="1"/>
    <xf numFmtId="9" fontId="0" fillId="0" borderId="0" xfId="0" applyNumberFormat="1"/>
    <xf numFmtId="3" fontId="0" fillId="0" borderId="0" xfId="0" applyNumberFormat="1" applyFill="1" applyBorder="1"/>
    <xf numFmtId="0" fontId="0" fillId="0" borderId="0" xfId="0" applyFill="1" applyBorder="1"/>
    <xf numFmtId="6" fontId="3" fillId="0" borderId="0" xfId="0" applyNumberFormat="1" applyFont="1" applyFill="1" applyBorder="1"/>
    <xf numFmtId="3" fontId="3" fillId="6" borderId="0" xfId="0" applyNumberFormat="1" applyFont="1" applyFill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8" borderId="0" xfId="0" applyFont="1" applyFill="1" applyAlignment="1">
      <alignment horizontal="center" wrapText="1"/>
    </xf>
    <xf numFmtId="0" fontId="9" fillId="8" borderId="12" xfId="0" applyFont="1" applyFill="1" applyBorder="1" applyAlignment="1">
      <alignment horizontal="center" wrapText="1"/>
    </xf>
    <xf numFmtId="0" fontId="7" fillId="9" borderId="0" xfId="0" applyFont="1" applyFill="1" applyAlignment="1">
      <alignment horizontal="right" vertical="center"/>
    </xf>
    <xf numFmtId="3" fontId="7" fillId="9" borderId="0" xfId="0" applyNumberFormat="1" applyFont="1" applyFill="1" applyAlignment="1">
      <alignment horizontal="right" vertical="center"/>
    </xf>
    <xf numFmtId="0" fontId="7" fillId="10" borderId="0" xfId="0" applyFont="1" applyFill="1" applyAlignment="1">
      <alignment horizontal="right" vertical="center"/>
    </xf>
    <xf numFmtId="3" fontId="7" fillId="10" borderId="0" xfId="0" applyNumberFormat="1" applyFont="1" applyFill="1" applyAlignment="1">
      <alignment horizontal="right" vertical="center"/>
    </xf>
    <xf numFmtId="3" fontId="9" fillId="11" borderId="0" xfId="0" applyNumberFormat="1" applyFont="1" applyFill="1" applyAlignment="1">
      <alignment horizontal="right" vertical="center"/>
    </xf>
    <xf numFmtId="0" fontId="9" fillId="11" borderId="0" xfId="0" applyFont="1" applyFill="1" applyAlignment="1">
      <alignment horizontal="right" vertical="center"/>
    </xf>
    <xf numFmtId="0" fontId="0" fillId="0" borderId="14" xfId="0" applyBorder="1"/>
    <xf numFmtId="0" fontId="9" fillId="8" borderId="14" xfId="0" applyFont="1" applyFill="1" applyBorder="1" applyAlignment="1">
      <alignment horizontal="center" wrapText="1"/>
    </xf>
    <xf numFmtId="0" fontId="0" fillId="0" borderId="15" xfId="0" applyBorder="1"/>
    <xf numFmtId="0" fontId="0" fillId="0" borderId="17" xfId="0" applyBorder="1"/>
    <xf numFmtId="0" fontId="10" fillId="9" borderId="16" xfId="1" applyFill="1" applyBorder="1" applyAlignment="1">
      <alignment horizontal="left" vertical="center" wrapText="1"/>
    </xf>
    <xf numFmtId="0" fontId="10" fillId="10" borderId="16" xfId="1" applyFill="1" applyBorder="1" applyAlignment="1">
      <alignment horizontal="left" vertical="center" wrapText="1"/>
    </xf>
    <xf numFmtId="0" fontId="0" fillId="0" borderId="20" xfId="0" applyBorder="1"/>
    <xf numFmtId="3" fontId="9" fillId="11" borderId="20" xfId="0" applyNumberFormat="1" applyFont="1" applyFill="1" applyBorder="1" applyAlignment="1">
      <alignment horizontal="right" vertical="center"/>
    </xf>
    <xf numFmtId="0" fontId="0" fillId="0" borderId="21" xfId="0" applyBorder="1"/>
    <xf numFmtId="3" fontId="0" fillId="0" borderId="17" xfId="0" applyNumberFormat="1" applyBorder="1"/>
    <xf numFmtId="0" fontId="0" fillId="0" borderId="0" xfId="0" applyFont="1"/>
    <xf numFmtId="0" fontId="0" fillId="0" borderId="0" xfId="0" applyFont="1" applyAlignment="1"/>
    <xf numFmtId="0" fontId="0" fillId="0" borderId="0" xfId="0" applyFont="1" applyFill="1" applyAlignment="1">
      <alignment vertical="top"/>
    </xf>
    <xf numFmtId="0" fontId="0" fillId="0" borderId="2" xfId="0" applyFont="1" applyFill="1" applyBorder="1"/>
    <xf numFmtId="3" fontId="3" fillId="0" borderId="0" xfId="0" applyNumberFormat="1" applyFont="1"/>
    <xf numFmtId="0" fontId="3" fillId="0" borderId="0" xfId="0" applyFont="1" applyFill="1"/>
    <xf numFmtId="3" fontId="3" fillId="7" borderId="0" xfId="0" applyNumberFormat="1" applyFont="1" applyFill="1"/>
    <xf numFmtId="3" fontId="3" fillId="2" borderId="9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3" fontId="3" fillId="2" borderId="2" xfId="0" applyNumberFormat="1" applyFont="1" applyFill="1" applyBorder="1"/>
    <xf numFmtId="3" fontId="3" fillId="2" borderId="0" xfId="0" applyNumberFormat="1" applyFont="1" applyFill="1" applyBorder="1"/>
    <xf numFmtId="3" fontId="3" fillId="2" borderId="9" xfId="0" applyNumberFormat="1" applyFont="1" applyFill="1" applyBorder="1"/>
    <xf numFmtId="3" fontId="3" fillId="4" borderId="9" xfId="0" applyNumberFormat="1" applyFont="1" applyFill="1" applyBorder="1" applyAlignment="1">
      <alignment vertical="top" wrapText="1"/>
    </xf>
    <xf numFmtId="3" fontId="3" fillId="4" borderId="2" xfId="0" applyNumberFormat="1" applyFont="1" applyFill="1" applyBorder="1"/>
    <xf numFmtId="3" fontId="3" fillId="3" borderId="0" xfId="0" applyNumberFormat="1" applyFont="1" applyFill="1" applyBorder="1" applyAlignment="1">
      <alignment wrapText="1"/>
    </xf>
    <xf numFmtId="3" fontId="3" fillId="3" borderId="9" xfId="0" applyNumberFormat="1" applyFont="1" applyFill="1" applyBorder="1" applyAlignment="1">
      <alignment wrapText="1"/>
    </xf>
    <xf numFmtId="3" fontId="3" fillId="3" borderId="2" xfId="0" applyNumberFormat="1" applyFont="1" applyFill="1" applyBorder="1"/>
    <xf numFmtId="3" fontId="12" fillId="12" borderId="5" xfId="0" applyNumberFormat="1" applyFont="1" applyFill="1" applyBorder="1"/>
    <xf numFmtId="0" fontId="1" fillId="0" borderId="0" xfId="0" applyFont="1" applyFill="1"/>
    <xf numFmtId="3" fontId="5" fillId="4" borderId="0" xfId="0" applyNumberFormat="1" applyFont="1" applyFill="1" applyBorder="1"/>
    <xf numFmtId="3" fontId="2" fillId="5" borderId="5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/>
    <xf numFmtId="3" fontId="4" fillId="2" borderId="0" xfId="0" applyNumberFormat="1" applyFont="1" applyFill="1" applyBorder="1"/>
    <xf numFmtId="3" fontId="4" fillId="2" borderId="2" xfId="0" applyNumberFormat="1" applyFont="1" applyFill="1" applyBorder="1"/>
    <xf numFmtId="3" fontId="3" fillId="4" borderId="9" xfId="0" applyNumberFormat="1" applyFont="1" applyFill="1" applyBorder="1"/>
    <xf numFmtId="3" fontId="3" fillId="4" borderId="0" xfId="0" applyNumberFormat="1" applyFont="1" applyFill="1" applyBorder="1"/>
    <xf numFmtId="3" fontId="3" fillId="3" borderId="9" xfId="0" applyNumberFormat="1" applyFont="1" applyFill="1" applyBorder="1"/>
    <xf numFmtId="3" fontId="3" fillId="3" borderId="0" xfId="0" applyNumberFormat="1" applyFont="1" applyFill="1" applyBorder="1"/>
    <xf numFmtId="3" fontId="2" fillId="5" borderId="4" xfId="0" applyNumberFormat="1" applyFont="1" applyFill="1" applyBorder="1" applyAlignment="1">
      <alignment horizontal="center" vertical="center"/>
    </xf>
    <xf numFmtId="3" fontId="2" fillId="5" borderId="8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vertical="top" wrapText="1"/>
    </xf>
    <xf numFmtId="3" fontId="12" fillId="12" borderId="4" xfId="0" applyNumberFormat="1" applyFont="1" applyFill="1" applyBorder="1"/>
    <xf numFmtId="3" fontId="12" fillId="12" borderId="8" xfId="0" applyNumberFormat="1" applyFont="1" applyFill="1" applyBorder="1"/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1" fillId="13" borderId="0" xfId="0" applyNumberFormat="1" applyFont="1" applyFill="1"/>
    <xf numFmtId="3" fontId="3" fillId="13" borderId="0" xfId="0" applyNumberFormat="1" applyFont="1" applyFill="1"/>
    <xf numFmtId="3" fontId="3" fillId="13" borderId="0" xfId="0" applyNumberFormat="1" applyFont="1" applyFill="1" applyBorder="1"/>
    <xf numFmtId="3" fontId="3" fillId="13" borderId="9" xfId="0" applyNumberFormat="1" applyFont="1" applyFill="1" applyBorder="1"/>
    <xf numFmtId="3" fontId="3" fillId="13" borderId="2" xfId="0" applyNumberFormat="1" applyFont="1" applyFill="1" applyBorder="1"/>
    <xf numFmtId="0" fontId="0" fillId="0" borderId="0" xfId="0" applyFont="1" applyFill="1"/>
    <xf numFmtId="0" fontId="6" fillId="0" borderId="0" xfId="0" applyFont="1" applyFill="1"/>
    <xf numFmtId="3" fontId="1" fillId="13" borderId="9" xfId="0" applyNumberFormat="1" applyFont="1" applyFill="1" applyBorder="1"/>
    <xf numFmtId="3" fontId="1" fillId="13" borderId="2" xfId="0" applyNumberFormat="1" applyFont="1" applyFill="1" applyBorder="1"/>
    <xf numFmtId="0" fontId="12" fillId="0" borderId="26" xfId="0" applyFont="1" applyFill="1" applyBorder="1"/>
    <xf numFmtId="0" fontId="4" fillId="0" borderId="3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3" fontId="4" fillId="0" borderId="24" xfId="0" applyNumberFormat="1" applyFont="1" applyFill="1" applyBorder="1"/>
    <xf numFmtId="3" fontId="4" fillId="0" borderId="29" xfId="0" applyNumberFormat="1" applyFont="1" applyFill="1" applyBorder="1"/>
    <xf numFmtId="0" fontId="4" fillId="0" borderId="6" xfId="0" applyFont="1" applyFill="1" applyBorder="1"/>
    <xf numFmtId="3" fontId="4" fillId="0" borderId="2" xfId="0" applyNumberFormat="1" applyFont="1" applyFill="1" applyBorder="1"/>
    <xf numFmtId="0" fontId="3" fillId="0" borderId="9" xfId="0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3" fontId="3" fillId="0" borderId="24" xfId="0" applyNumberFormat="1" applyFont="1" applyFill="1" applyBorder="1"/>
    <xf numFmtId="3" fontId="3" fillId="0" borderId="29" xfId="0" applyNumberFormat="1" applyFont="1" applyFill="1" applyBorder="1"/>
    <xf numFmtId="0" fontId="3" fillId="0" borderId="6" xfId="0" applyFont="1" applyFill="1" applyBorder="1"/>
    <xf numFmtId="3" fontId="3" fillId="0" borderId="2" xfId="0" applyNumberFormat="1" applyFont="1" applyFill="1" applyBorder="1"/>
    <xf numFmtId="0" fontId="1" fillId="0" borderId="9" xfId="0" applyFont="1" applyFill="1" applyBorder="1"/>
    <xf numFmtId="0" fontId="3" fillId="0" borderId="9" xfId="0" applyFont="1" applyFill="1" applyBorder="1" applyAlignment="1">
      <alignment horizontal="right"/>
    </xf>
    <xf numFmtId="0" fontId="3" fillId="0" borderId="6" xfId="0" applyFont="1" applyFill="1" applyBorder="1" applyAlignment="1">
      <alignment vertical="top"/>
    </xf>
    <xf numFmtId="3" fontId="3" fillId="0" borderId="24" xfId="0" applyNumberFormat="1" applyFont="1" applyFill="1" applyBorder="1" applyAlignment="1"/>
    <xf numFmtId="6" fontId="3" fillId="0" borderId="6" xfId="0" applyNumberFormat="1" applyFont="1" applyFill="1" applyBorder="1"/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wrapText="1"/>
    </xf>
    <xf numFmtId="3" fontId="3" fillId="0" borderId="9" xfId="0" applyNumberFormat="1" applyFont="1" applyFill="1" applyBorder="1"/>
    <xf numFmtId="3" fontId="1" fillId="0" borderId="24" xfId="0" applyNumberFormat="1" applyFont="1" applyFill="1" applyBorder="1"/>
    <xf numFmtId="3" fontId="1" fillId="0" borderId="2" xfId="0" applyNumberFormat="1" applyFont="1" applyFill="1" applyBorder="1"/>
    <xf numFmtId="3" fontId="3" fillId="0" borderId="2" xfId="0" applyNumberFormat="1" applyFont="1" applyFill="1" applyBorder="1" applyAlignment="1">
      <alignment wrapText="1"/>
    </xf>
    <xf numFmtId="0" fontId="1" fillId="0" borderId="9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vertical="top"/>
    </xf>
    <xf numFmtId="3" fontId="3" fillId="0" borderId="24" xfId="0" applyNumberFormat="1" applyFont="1" applyFill="1" applyBorder="1" applyAlignment="1">
      <alignment vertical="top"/>
    </xf>
    <xf numFmtId="3" fontId="3" fillId="0" borderId="9" xfId="0" applyNumberFormat="1" applyFont="1" applyFill="1" applyBorder="1" applyAlignment="1">
      <alignment vertical="top"/>
    </xf>
    <xf numFmtId="3" fontId="5" fillId="0" borderId="0" xfId="0" applyNumberFormat="1" applyFont="1" applyFill="1" applyBorder="1"/>
    <xf numFmtId="3" fontId="3" fillId="0" borderId="0" xfId="0" applyNumberFormat="1" applyFont="1" applyFill="1" applyBorder="1" applyAlignment="1">
      <alignment wrapText="1"/>
    </xf>
    <xf numFmtId="3" fontId="3" fillId="0" borderId="24" xfId="0" applyNumberFormat="1" applyFont="1" applyFill="1" applyBorder="1" applyAlignment="1">
      <alignment wrapText="1"/>
    </xf>
    <xf numFmtId="3" fontId="3" fillId="0" borderId="9" xfId="0" applyNumberFormat="1" applyFont="1" applyFill="1" applyBorder="1" applyAlignment="1">
      <alignment wrapText="1"/>
    </xf>
    <xf numFmtId="3" fontId="1" fillId="0" borderId="6" xfId="0" applyNumberFormat="1" applyFont="1" applyFill="1" applyBorder="1"/>
    <xf numFmtId="3" fontId="1" fillId="0" borderId="0" xfId="0" applyNumberFormat="1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3" fontId="3" fillId="0" borderId="6" xfId="0" applyNumberFormat="1" applyFont="1" applyFill="1" applyBorder="1"/>
    <xf numFmtId="0" fontId="3" fillId="0" borderId="2" xfId="0" applyFont="1" applyFill="1" applyBorder="1"/>
    <xf numFmtId="3" fontId="3" fillId="0" borderId="30" xfId="0" applyNumberFormat="1" applyFont="1" applyFill="1" applyBorder="1"/>
    <xf numFmtId="0" fontId="1" fillId="0" borderId="0" xfId="0" applyFont="1" applyFill="1" applyAlignment="1">
      <alignment horizontal="center"/>
    </xf>
    <xf numFmtId="0" fontId="3" fillId="0" borderId="4" xfId="0" applyFont="1" applyFill="1" applyBorder="1"/>
    <xf numFmtId="0" fontId="12" fillId="0" borderId="5" xfId="0" applyFont="1" applyFill="1" applyBorder="1"/>
    <xf numFmtId="3" fontId="12" fillId="0" borderId="5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3" fontId="12" fillId="0" borderId="1" xfId="0" applyNumberFormat="1" applyFont="1" applyFill="1" applyBorder="1"/>
    <xf numFmtId="3" fontId="12" fillId="0" borderId="4" xfId="0" applyNumberFormat="1" applyFont="1" applyFill="1" applyBorder="1"/>
    <xf numFmtId="3" fontId="12" fillId="0" borderId="23" xfId="0" applyNumberFormat="1" applyFont="1" applyFill="1" applyBorder="1"/>
    <xf numFmtId="3" fontId="12" fillId="0" borderId="8" xfId="0" applyNumberFormat="1" applyFont="1" applyFill="1" applyBorder="1"/>
    <xf numFmtId="0" fontId="3" fillId="0" borderId="10" xfId="0" applyFont="1" applyFill="1" applyBorder="1"/>
    <xf numFmtId="0" fontId="3" fillId="0" borderId="3" xfId="0" applyFont="1" applyFill="1" applyBorder="1"/>
    <xf numFmtId="3" fontId="3" fillId="0" borderId="3" xfId="0" applyNumberFormat="1" applyFont="1" applyFill="1" applyBorder="1"/>
    <xf numFmtId="0" fontId="3" fillId="0" borderId="3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wrapText="1"/>
    </xf>
    <xf numFmtId="3" fontId="3" fillId="0" borderId="32" xfId="0" applyNumberFormat="1" applyFont="1" applyFill="1" applyBorder="1"/>
    <xf numFmtId="3" fontId="3" fillId="0" borderId="31" xfId="0" applyNumberFormat="1" applyFont="1" applyFill="1" applyBorder="1"/>
    <xf numFmtId="0" fontId="3" fillId="0" borderId="7" xfId="0" applyFont="1" applyFill="1" applyBorder="1"/>
    <xf numFmtId="3" fontId="3" fillId="0" borderId="11" xfId="0" applyNumberFormat="1" applyFont="1" applyFill="1" applyBorder="1"/>
    <xf numFmtId="0" fontId="2" fillId="0" borderId="3" xfId="0" applyFont="1" applyFill="1" applyBorder="1"/>
    <xf numFmtId="3" fontId="2" fillId="0" borderId="3" xfId="0" applyNumberFormat="1" applyFont="1" applyFill="1" applyBorder="1"/>
    <xf numFmtId="0" fontId="3" fillId="0" borderId="11" xfId="0" applyFont="1" applyFill="1" applyBorder="1" applyAlignment="1">
      <alignment wrapText="1"/>
    </xf>
    <xf numFmtId="3" fontId="3" fillId="0" borderId="10" xfId="0" applyNumberFormat="1" applyFont="1" applyFill="1" applyBorder="1"/>
    <xf numFmtId="0" fontId="5" fillId="0" borderId="9" xfId="0" applyFont="1" applyFill="1" applyBorder="1"/>
    <xf numFmtId="0" fontId="12" fillId="0" borderId="9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wrapText="1"/>
    </xf>
    <xf numFmtId="3" fontId="5" fillId="0" borderId="24" xfId="0" applyNumberFormat="1" applyFont="1" applyFill="1" applyBorder="1"/>
    <xf numFmtId="3" fontId="5" fillId="0" borderId="29" xfId="0" applyNumberFormat="1" applyFont="1" applyFill="1" applyBorder="1"/>
    <xf numFmtId="3" fontId="5" fillId="0" borderId="6" xfId="0" applyNumberFormat="1" applyFont="1" applyFill="1" applyBorder="1"/>
    <xf numFmtId="3" fontId="5" fillId="0" borderId="9" xfId="0" applyNumberFormat="1" applyFont="1" applyFill="1" applyBorder="1"/>
    <xf numFmtId="3" fontId="5" fillId="0" borderId="2" xfId="0" applyNumberFormat="1" applyFont="1" applyFill="1" applyBorder="1"/>
    <xf numFmtId="3" fontId="5" fillId="3" borderId="9" xfId="0" applyNumberFormat="1" applyFont="1" applyFill="1" applyBorder="1"/>
    <xf numFmtId="3" fontId="5" fillId="3" borderId="0" xfId="0" applyNumberFormat="1" applyFont="1" applyFill="1" applyBorder="1"/>
    <xf numFmtId="3" fontId="5" fillId="3" borderId="2" xfId="0" applyNumberFormat="1" applyFont="1" applyFill="1" applyBorder="1"/>
    <xf numFmtId="0" fontId="5" fillId="0" borderId="6" xfId="0" applyFont="1" applyFill="1" applyBorder="1"/>
    <xf numFmtId="3" fontId="5" fillId="2" borderId="9" xfId="0" applyNumberFormat="1" applyFont="1" applyFill="1" applyBorder="1"/>
    <xf numFmtId="3" fontId="5" fillId="2" borderId="0" xfId="0" applyNumberFormat="1" applyFont="1" applyFill="1" applyBorder="1"/>
    <xf numFmtId="3" fontId="5" fillId="2" borderId="2" xfId="0" applyNumberFormat="1" applyFont="1" applyFill="1" applyBorder="1"/>
    <xf numFmtId="0" fontId="5" fillId="0" borderId="0" xfId="0" applyFont="1"/>
    <xf numFmtId="3" fontId="5" fillId="4" borderId="9" xfId="0" applyNumberFormat="1" applyFont="1" applyFill="1" applyBorder="1"/>
    <xf numFmtId="3" fontId="5" fillId="4" borderId="2" xfId="0" applyNumberFormat="1" applyFont="1" applyFill="1" applyBorder="1"/>
    <xf numFmtId="3" fontId="5" fillId="0" borderId="0" xfId="0" applyNumberFormat="1" applyFont="1" applyFill="1"/>
    <xf numFmtId="0" fontId="5" fillId="0" borderId="0" xfId="0" applyFont="1" applyFill="1" applyAlignment="1">
      <alignment horizontal="center"/>
    </xf>
    <xf numFmtId="3" fontId="5" fillId="13" borderId="9" xfId="0" applyNumberFormat="1" applyFont="1" applyFill="1" applyBorder="1"/>
    <xf numFmtId="3" fontId="5" fillId="13" borderId="0" xfId="0" applyNumberFormat="1" applyFont="1" applyFill="1"/>
    <xf numFmtId="3" fontId="5" fillId="13" borderId="2" xfId="0" applyNumberFormat="1" applyFont="1" applyFill="1" applyBorder="1"/>
    <xf numFmtId="0" fontId="13" fillId="0" borderId="0" xfId="0" applyFont="1"/>
    <xf numFmtId="0" fontId="12" fillId="6" borderId="26" xfId="0" applyFont="1" applyFill="1" applyBorder="1"/>
    <xf numFmtId="0" fontId="4" fillId="6" borderId="27" xfId="0" applyFont="1" applyFill="1" applyBorder="1"/>
    <xf numFmtId="3" fontId="4" fillId="6" borderId="27" xfId="0" applyNumberFormat="1" applyFont="1" applyFill="1" applyBorder="1"/>
    <xf numFmtId="0" fontId="4" fillId="6" borderId="27" xfId="0" applyFont="1" applyFill="1" applyBorder="1" applyAlignment="1">
      <alignment horizontal="center"/>
    </xf>
    <xf numFmtId="0" fontId="4" fillId="6" borderId="22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3" xfId="0" applyFont="1" applyFill="1" applyBorder="1"/>
    <xf numFmtId="3" fontId="4" fillId="6" borderId="3" xfId="0" applyNumberFormat="1" applyFont="1" applyFill="1" applyBorder="1"/>
    <xf numFmtId="0" fontId="4" fillId="6" borderId="3" xfId="0" applyFont="1" applyFill="1" applyBorder="1" applyAlignment="1">
      <alignment horizontal="center"/>
    </xf>
    <xf numFmtId="0" fontId="4" fillId="6" borderId="11" xfId="0" applyFont="1" applyFill="1" applyBorder="1" applyAlignment="1">
      <alignment wrapText="1"/>
    </xf>
    <xf numFmtId="3" fontId="2" fillId="6" borderId="4" xfId="0" applyNumberFormat="1" applyFont="1" applyFill="1" applyBorder="1" applyAlignment="1">
      <alignment horizontal="center"/>
    </xf>
    <xf numFmtId="3" fontId="2" fillId="6" borderId="23" xfId="0" applyNumberFormat="1" applyFont="1" applyFill="1" applyBorder="1" applyAlignment="1">
      <alignment horizontal="center"/>
    </xf>
    <xf numFmtId="3" fontId="2" fillId="6" borderId="23" xfId="0" applyNumberFormat="1" applyFont="1" applyFill="1" applyBorder="1" applyAlignment="1">
      <alignment horizontal="center" wrapText="1"/>
    </xf>
    <xf numFmtId="3" fontId="2" fillId="6" borderId="31" xfId="0" applyNumberFormat="1" applyFont="1" applyFill="1" applyBorder="1" applyAlignment="1">
      <alignment horizontal="center" vertical="top" wrapText="1"/>
    </xf>
    <xf numFmtId="3" fontId="2" fillId="6" borderId="5" xfId="0" applyNumberFormat="1" applyFont="1" applyFill="1" applyBorder="1" applyAlignment="1">
      <alignment horizontal="center" vertical="center"/>
    </xf>
    <xf numFmtId="3" fontId="2" fillId="6" borderId="23" xfId="0" applyNumberFormat="1" applyFont="1" applyFill="1" applyBorder="1" applyAlignment="1">
      <alignment horizontal="center" vertical="center"/>
    </xf>
    <xf numFmtId="3" fontId="2" fillId="6" borderId="8" xfId="0" applyNumberFormat="1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/>
    </xf>
    <xf numFmtId="3" fontId="2" fillId="6" borderId="2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3" fillId="0" borderId="9" xfId="0" applyNumberFormat="1" applyFont="1" applyFill="1" applyBorder="1" applyAlignment="1"/>
    <xf numFmtId="3" fontId="0" fillId="0" borderId="9" xfId="0" applyNumberFormat="1" applyFill="1" applyBorder="1" applyAlignment="1"/>
    <xf numFmtId="3" fontId="3" fillId="0" borderId="24" xfId="0" applyNumberFormat="1" applyFont="1" applyFill="1" applyBorder="1" applyAlignment="1"/>
    <xf numFmtId="3" fontId="0" fillId="0" borderId="24" xfId="0" applyNumberFormat="1" applyFill="1" applyBorder="1" applyAlignment="1"/>
    <xf numFmtId="3" fontId="3" fillId="0" borderId="29" xfId="0" applyNumberFormat="1" applyFon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0" fontId="3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3" fontId="3" fillId="2" borderId="0" xfId="0" applyNumberFormat="1" applyFon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3" fontId="3" fillId="0" borderId="2" xfId="0" applyNumberFormat="1" applyFont="1" applyFill="1" applyBorder="1" applyAlignment="1"/>
    <xf numFmtId="3" fontId="0" fillId="0" borderId="2" xfId="0" applyNumberFormat="1" applyFill="1" applyBorder="1" applyAlignment="1"/>
    <xf numFmtId="3" fontId="3" fillId="2" borderId="9" xfId="0" applyNumberFormat="1" applyFont="1" applyFill="1" applyBorder="1" applyAlignment="1">
      <alignment vertical="center"/>
    </xf>
    <xf numFmtId="3" fontId="0" fillId="2" borderId="9" xfId="0" applyNumberFormat="1" applyFill="1" applyBorder="1" applyAlignment="1">
      <alignment vertical="center"/>
    </xf>
    <xf numFmtId="0" fontId="2" fillId="6" borderId="25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vertical="center"/>
    </xf>
    <xf numFmtId="3" fontId="2" fillId="6" borderId="4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3" fillId="0" borderId="2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/>
    <xf numFmtId="0" fontId="0" fillId="0" borderId="29" xfId="0" applyFill="1" applyBorder="1" applyAlignment="1">
      <alignment vertical="center"/>
    </xf>
    <xf numFmtId="0" fontId="3" fillId="0" borderId="6" xfId="0" applyFont="1" applyFill="1" applyBorder="1" applyAlignment="1"/>
    <xf numFmtId="0" fontId="0" fillId="0" borderId="6" xfId="0" applyFill="1" applyBorder="1" applyAlignment="1"/>
    <xf numFmtId="0" fontId="0" fillId="0" borderId="9" xfId="0" applyFill="1" applyBorder="1" applyAlignment="1">
      <alignment vertical="center"/>
    </xf>
    <xf numFmtId="0" fontId="0" fillId="0" borderId="2" xfId="0" applyFill="1" applyBorder="1" applyAlignment="1"/>
    <xf numFmtId="3" fontId="3" fillId="3" borderId="9" xfId="0" applyNumberFormat="1" applyFont="1" applyFill="1" applyBorder="1" applyAlignment="1"/>
    <xf numFmtId="0" fontId="0" fillId="0" borderId="9" xfId="0" applyBorder="1" applyAlignment="1"/>
    <xf numFmtId="3" fontId="3" fillId="3" borderId="0" xfId="0" applyNumberFormat="1" applyFont="1" applyFill="1" applyBorder="1" applyAlignment="1"/>
    <xf numFmtId="0" fontId="0" fillId="0" borderId="0" xfId="0" applyAlignment="1"/>
    <xf numFmtId="3" fontId="3" fillId="3" borderId="2" xfId="0" applyNumberFormat="1" applyFont="1" applyFill="1" applyBorder="1" applyAlignment="1"/>
    <xf numFmtId="0" fontId="0" fillId="0" borderId="2" xfId="0" applyBorder="1" applyAlignment="1"/>
    <xf numFmtId="0" fontId="7" fillId="9" borderId="0" xfId="0" applyFont="1" applyFill="1" applyAlignment="1">
      <alignment vertical="center" wrapText="1"/>
    </xf>
    <xf numFmtId="0" fontId="9" fillId="8" borderId="13" xfId="0" applyFont="1" applyFill="1" applyBorder="1" applyAlignment="1">
      <alignment horizontal="left" wrapText="1"/>
    </xf>
    <xf numFmtId="0" fontId="9" fillId="8" borderId="14" xfId="0" applyFont="1" applyFill="1" applyBorder="1" applyAlignment="1">
      <alignment horizontal="left" wrapText="1"/>
    </xf>
    <xf numFmtId="0" fontId="9" fillId="8" borderId="16" xfId="0" applyFont="1" applyFill="1" applyBorder="1" applyAlignment="1">
      <alignment horizontal="left" wrapText="1"/>
    </xf>
    <xf numFmtId="0" fontId="9" fillId="8" borderId="0" xfId="0" applyFont="1" applyFill="1" applyBorder="1" applyAlignment="1">
      <alignment horizontal="left" wrapText="1"/>
    </xf>
    <xf numFmtId="0" fontId="9" fillId="8" borderId="18" xfId="0" applyFont="1" applyFill="1" applyBorder="1" applyAlignment="1">
      <alignment horizontal="left" wrapText="1"/>
    </xf>
    <xf numFmtId="0" fontId="9" fillId="8" borderId="12" xfId="0" applyFont="1" applyFill="1" applyBorder="1" applyAlignment="1">
      <alignment horizontal="left" wrapText="1"/>
    </xf>
    <xf numFmtId="0" fontId="9" fillId="8" borderId="16" xfId="0" applyFont="1" applyFill="1" applyBorder="1" applyAlignment="1">
      <alignment vertical="center" wrapText="1"/>
    </xf>
    <xf numFmtId="0" fontId="9" fillId="8" borderId="0" xfId="0" applyFont="1" applyFill="1" applyBorder="1" applyAlignment="1">
      <alignment vertical="center" wrapText="1"/>
    </xf>
    <xf numFmtId="0" fontId="9" fillId="8" borderId="17" xfId="0" applyFont="1" applyFill="1" applyBorder="1" applyAlignment="1">
      <alignment vertical="center" wrapText="1"/>
    </xf>
    <xf numFmtId="0" fontId="7" fillId="10" borderId="0" xfId="0" applyFont="1" applyFill="1" applyAlignment="1">
      <alignment vertical="center" wrapText="1"/>
    </xf>
    <xf numFmtId="0" fontId="9" fillId="11" borderId="16" xfId="0" applyFont="1" applyFill="1" applyBorder="1" applyAlignment="1">
      <alignment vertical="center" wrapText="1"/>
    </xf>
    <xf numFmtId="0" fontId="9" fillId="11" borderId="0" xfId="0" applyFont="1" applyFill="1" applyBorder="1" applyAlignment="1">
      <alignment vertical="center" wrapText="1"/>
    </xf>
    <xf numFmtId="0" fontId="9" fillId="11" borderId="19" xfId="0" applyFont="1" applyFill="1" applyBorder="1" applyAlignment="1">
      <alignment vertical="center" wrapText="1"/>
    </xf>
    <xf numFmtId="0" fontId="9" fillId="11" borderId="20" xfId="0" applyFont="1" applyFill="1" applyBorder="1" applyAlignment="1">
      <alignment vertical="center" wrapText="1"/>
    </xf>
    <xf numFmtId="164" fontId="5" fillId="0" borderId="0" xfId="0" applyNumberFormat="1" applyFont="1" applyFill="1" applyBorder="1"/>
    <xf numFmtId="165" fontId="5" fillId="0" borderId="0" xfId="0" applyNumberFormat="1" applyFont="1" applyFill="1"/>
    <xf numFmtId="164" fontId="12" fillId="0" borderId="5" xfId="0" applyNumberFormat="1" applyFont="1" applyFill="1" applyBorder="1"/>
    <xf numFmtId="165" fontId="3" fillId="0" borderId="0" xfId="0" applyNumberFormat="1" applyFont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1510393</xdr:colOff>
      <xdr:row>15</xdr:row>
      <xdr:rowOff>13607</xdr:rowOff>
    </xdr:from>
    <xdr:to>
      <xdr:col>5</xdr:col>
      <xdr:colOff>1796143</xdr:colOff>
      <xdr:row>19</xdr:row>
      <xdr:rowOff>0</xdr:rowOff>
    </xdr:to>
    <xdr:sp macro="" textlink="">
      <xdr:nvSpPr>
        <xdr:cNvPr id="2" name="Oikea aaltosulje 1"/>
        <xdr:cNvSpPr/>
      </xdr:nvSpPr>
      <xdr:spPr>
        <a:xfrm>
          <a:off x="6681107" y="5334000"/>
          <a:ext cx="285750" cy="80282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5</xdr:col>
      <xdr:colOff>1347107</xdr:colOff>
      <xdr:row>11</xdr:row>
      <xdr:rowOff>122464</xdr:rowOff>
    </xdr:from>
    <xdr:to>
      <xdr:col>5</xdr:col>
      <xdr:colOff>1605643</xdr:colOff>
      <xdr:row>14</xdr:row>
      <xdr:rowOff>163286</xdr:rowOff>
    </xdr:to>
    <xdr:sp macro="" textlink="">
      <xdr:nvSpPr>
        <xdr:cNvPr id="5" name="Oikea aaltosulje 4"/>
        <xdr:cNvSpPr/>
      </xdr:nvSpPr>
      <xdr:spPr>
        <a:xfrm>
          <a:off x="5959928" y="4463143"/>
          <a:ext cx="258536" cy="164646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5</xdr:col>
      <xdr:colOff>2898322</xdr:colOff>
      <xdr:row>50</xdr:row>
      <xdr:rowOff>13608</xdr:rowOff>
    </xdr:from>
    <xdr:to>
      <xdr:col>5</xdr:col>
      <xdr:colOff>3034393</xdr:colOff>
      <xdr:row>51</xdr:row>
      <xdr:rowOff>149678</xdr:rowOff>
    </xdr:to>
    <xdr:sp macro="" textlink="">
      <xdr:nvSpPr>
        <xdr:cNvPr id="6" name="Oikea aaltosulje 5"/>
        <xdr:cNvSpPr/>
      </xdr:nvSpPr>
      <xdr:spPr>
        <a:xfrm>
          <a:off x="6844393" y="22342929"/>
          <a:ext cx="136071" cy="34017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HONENK/AppData/Local/Microsoft/Windows/Temporary%20Internet%20Files/Content.Outlook/43SJ49R4/2018%20Uudet%20toiminnot%20vakanssit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HONENK/AppData/Local/Microsoft/Windows/Temporary%20Internet%20Files/Content.Outlook/43SJ49R4/2018%20Uudet%20toiminnot%20vakanss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  <sheetName val="Taul4"/>
      <sheetName val="Taul5"/>
    </sheetNames>
    <sheetDataSet>
      <sheetData sheetId="0"/>
      <sheetData sheetId="1">
        <row r="34">
          <cell r="E34">
            <v>135000</v>
          </cell>
        </row>
        <row r="35">
          <cell r="E35">
            <v>315000</v>
          </cell>
        </row>
        <row r="37">
          <cell r="E37">
            <v>64000</v>
          </cell>
        </row>
        <row r="38">
          <cell r="F38">
            <v>320000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  <sheetName val="Taul4"/>
      <sheetName val="Taul5"/>
    </sheetNames>
    <sheetDataSet>
      <sheetData sheetId="0">
        <row r="32">
          <cell r="D32">
            <v>174281</v>
          </cell>
        </row>
        <row r="33">
          <cell r="D33">
            <v>111830</v>
          </cell>
        </row>
        <row r="34">
          <cell r="D34">
            <v>45398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radius.istekkipalvelut.fi:7779/pls/sigmapub/SIG37.SIGE1033?sAlku=01012016&amp;sLoppu=31122016&amp;iYhteiso=736&amp;sTuotekoodi=367A&amp;iLkm=46&amp;iGo=2&amp;sSlaji=O" TargetMode="External"/><Relationship Id="rId18" Type="http://schemas.openxmlformats.org/officeDocument/2006/relationships/hyperlink" Target="http://radius.istekkipalvelut.fi:7779/pls/sigmapub/SIG37.SIGE1033?sAlku=01012016&amp;sLoppu=31122016&amp;iYhteiso=736&amp;sTuotekoodi=366&amp;iLkm=76&amp;iGo=2&amp;sSlaji=KL" TargetMode="External"/><Relationship Id="rId26" Type="http://schemas.openxmlformats.org/officeDocument/2006/relationships/hyperlink" Target="http://radius.istekkipalvelut.fi:7779/pls/sigmapub/SIG37.SIGE1033?sAlku=01012016&amp;sLoppu=31122016&amp;iYhteiso=736&amp;sTuotekoodi=366&amp;iLkm=76&amp;iGo=2&amp;sSlaji=B" TargetMode="External"/><Relationship Id="rId39" Type="http://schemas.openxmlformats.org/officeDocument/2006/relationships/hyperlink" Target="http://radius.istekkipalvelut.fi:7779/pls/sigmapub/SIG37.SIGE1033?sAlku=01012016&amp;sLoppu=31122016&amp;iYhteiso=736&amp;sTuotekoodi=366&amp;iLkm=76&amp;iGo=2&amp;sSlaji=Z" TargetMode="External"/><Relationship Id="rId21" Type="http://schemas.openxmlformats.org/officeDocument/2006/relationships/hyperlink" Target="http://radius.istekkipalvelut.fi:7779/pls/sigmapub/SIG37.SIGE1033?sAlku=01012016&amp;sLoppu=31122016&amp;iYhteiso=736&amp;sTuotekoodi=366&amp;iLkm=76&amp;iGo=2&amp;sSlaji=PT" TargetMode="External"/><Relationship Id="rId34" Type="http://schemas.openxmlformats.org/officeDocument/2006/relationships/hyperlink" Target="http://radius.istekkipalvelut.fi:7779/pls/sigmapub/SIG37.SIGE1033?sAlku=01012016&amp;sLoppu=31122016&amp;iYhteiso=736&amp;sTuotekoodi=366&amp;iLkm=76&amp;iGo=2&amp;sSlaji=O" TargetMode="External"/><Relationship Id="rId42" Type="http://schemas.openxmlformats.org/officeDocument/2006/relationships/hyperlink" Target="http://radius.istekkipalvelut.fi:7779/pls/sigmapub/SIG37.SIGE1033?sAlku=01012016&amp;sLoppu=31122016&amp;iYhteiso=736&amp;sTuotekoodi=353&amp;iLkm=55&amp;iGo=2&amp;sSlaji=PT" TargetMode="External"/><Relationship Id="rId47" Type="http://schemas.openxmlformats.org/officeDocument/2006/relationships/hyperlink" Target="http://radius.istekkipalvelut.fi:7779/pls/sigmapub/SIG37.SIGE1033?sAlku=01012016&amp;sLoppu=31122016&amp;iYhteiso=736&amp;sTuotekoodi=353&amp;iLkm=55&amp;iGo=2&amp;sSlaji=C" TargetMode="External"/><Relationship Id="rId50" Type="http://schemas.openxmlformats.org/officeDocument/2006/relationships/hyperlink" Target="http://radius.istekkipalvelut.fi:7779/pls/sigmapub/SIG37.SIGE1033?sAlku=01012016&amp;sLoppu=31122016&amp;iYhteiso=736&amp;sTuotekoodi=353&amp;iLkm=55&amp;iGo=2&amp;sSlaji=H" TargetMode="External"/><Relationship Id="rId55" Type="http://schemas.openxmlformats.org/officeDocument/2006/relationships/hyperlink" Target="http://radius.istekkipalvelut.fi:7779/pls/sigmapub/SIG37.SIGE1033?sAlku=01012016&amp;sLoppu=31122016&amp;iYhteiso=736&amp;sTuotekoodi=353&amp;iLkm=55&amp;iGo=2&amp;sSlaji=O" TargetMode="External"/><Relationship Id="rId63" Type="http://schemas.openxmlformats.org/officeDocument/2006/relationships/hyperlink" Target="http://radius.istekkipalvelut.fi:7779/pls/sigmapub/SIG37.SIGE1033?sAlku=01012016&amp;sLoppu=31122016&amp;iYhteiso=736&amp;sTuotekoodi=355&amp;iLkm=62&amp;iGo=2&amp;sSlaji=TA" TargetMode="External"/><Relationship Id="rId68" Type="http://schemas.openxmlformats.org/officeDocument/2006/relationships/hyperlink" Target="http://radius.istekkipalvelut.fi:7779/pls/sigmapub/SIG37.SIGE1033?sAlku=01012016&amp;sLoppu=31122016&amp;iYhteiso=736&amp;sTuotekoodi=355&amp;iLkm=62&amp;iGo=2&amp;sSlaji=H" TargetMode="External"/><Relationship Id="rId7" Type="http://schemas.openxmlformats.org/officeDocument/2006/relationships/hyperlink" Target="http://radius.istekkipalvelut.fi:7779/pls/sigmapub/SIG37.SIGE1033?sAlku=01012016&amp;sLoppu=31122016&amp;iYhteiso=736&amp;sTuotekoodi=367A&amp;iLkm=46&amp;iGo=2&amp;sSlaji=Z" TargetMode="External"/><Relationship Id="rId71" Type="http://schemas.openxmlformats.org/officeDocument/2006/relationships/hyperlink" Target="http://radius.istekkipalvelut.fi:7779/pls/sigmapub/SIG37.SIGE1033?sAlku=01012016&amp;sLoppu=31122016&amp;iYhteiso=736&amp;sTuotekoodi=355&amp;iLkm=62&amp;iGo=2&amp;sSlaji=O" TargetMode="External"/><Relationship Id="rId2" Type="http://schemas.openxmlformats.org/officeDocument/2006/relationships/hyperlink" Target="http://radius.istekkipalvelut.fi:7779/pls/sigmapub/SIG37.SIGE1033?sAlku=01012016&amp;sLoppu=31122016&amp;iYhteiso=736&amp;sTuotekoodi=367A&amp;iLkm=46&amp;iGo=2&amp;sSlaji=KL" TargetMode="External"/><Relationship Id="rId16" Type="http://schemas.openxmlformats.org/officeDocument/2006/relationships/hyperlink" Target="http://radius.istekkipalvelut.fi:7779/pls/sigmapub/SIG37.SIGE1033?sAlku=01012016&amp;sLoppu=31122016&amp;iYhteiso=736&amp;sTuotekoodi=366&amp;iLkm=76&amp;iGo=2&amp;sSlaji=H" TargetMode="External"/><Relationship Id="rId29" Type="http://schemas.openxmlformats.org/officeDocument/2006/relationships/hyperlink" Target="http://radius.istekkipalvelut.fi:7779/pls/sigmapub/SIG37.SIGE1033?sAlku=01012016&amp;sLoppu=31122016&amp;iYhteiso=736&amp;sTuotekoodi=366&amp;iLkm=76&amp;iGo=2&amp;sSlaji=G" TargetMode="External"/><Relationship Id="rId11" Type="http://schemas.openxmlformats.org/officeDocument/2006/relationships/hyperlink" Target="http://radius.istekkipalvelut.fi:7779/pls/sigmapub/SIG37.SIGE1033?sAlku=01012016&amp;sLoppu=31122016&amp;iYhteiso=736&amp;sTuotekoodi=367A&amp;iLkm=46&amp;iGo=2&amp;sSlaji=K" TargetMode="External"/><Relationship Id="rId24" Type="http://schemas.openxmlformats.org/officeDocument/2006/relationships/hyperlink" Target="http://radius.istekkipalvelut.fi:7779/pls/sigmapub/SIG37.SIGE1033?sAlku=01012016&amp;sLoppu=31122016&amp;iYhteiso=736&amp;sTuotekoodi=366&amp;iLkm=76&amp;iGo=2&amp;sSlaji=TP" TargetMode="External"/><Relationship Id="rId32" Type="http://schemas.openxmlformats.org/officeDocument/2006/relationships/hyperlink" Target="http://radius.istekkipalvelut.fi:7779/pls/sigmapub/SIG37.SIGE1033?sAlku=01012016&amp;sLoppu=31122016&amp;iYhteiso=736&amp;sTuotekoodi=366&amp;iLkm=76&amp;iGo=2&amp;sSlaji=L" TargetMode="External"/><Relationship Id="rId37" Type="http://schemas.openxmlformats.org/officeDocument/2006/relationships/hyperlink" Target="http://radius.istekkipalvelut.fi:7779/pls/sigmapub/SIG37.SIGE1033?sAlku=01012016&amp;sLoppu=31122016&amp;iYhteiso=736&amp;sTuotekoodi=366&amp;iLkm=76&amp;iGo=2&amp;sSlaji=R" TargetMode="External"/><Relationship Id="rId40" Type="http://schemas.openxmlformats.org/officeDocument/2006/relationships/hyperlink" Target="http://radius.istekkipalvelut.fi:7779/pls/sigmapub/SIG37.SIGE1033?sAlku=01012016&amp;sLoppu=31122016&amp;iYhteiso=736&amp;sTuotekoodi=353&amp;iLkm=55&amp;iGo=2&amp;sSlaji=H" TargetMode="External"/><Relationship Id="rId45" Type="http://schemas.openxmlformats.org/officeDocument/2006/relationships/hyperlink" Target="http://radius.istekkipalvelut.fi:7779/pls/sigmapub/SIG37.SIGE1033?sAlku=01012016&amp;sLoppu=31122016&amp;iYhteiso=736&amp;sTuotekoodi=353&amp;iLkm=55&amp;iGo=2&amp;sSlaji=UA" TargetMode="External"/><Relationship Id="rId53" Type="http://schemas.openxmlformats.org/officeDocument/2006/relationships/hyperlink" Target="http://radius.istekkipalvelut.fi:7779/pls/sigmapub/SIG37.SIGE1033?sAlku=01012016&amp;sLoppu=31122016&amp;iYhteiso=736&amp;sTuotekoodi=353&amp;iLkm=55&amp;iGo=2&amp;sSlaji=L" TargetMode="External"/><Relationship Id="rId58" Type="http://schemas.openxmlformats.org/officeDocument/2006/relationships/hyperlink" Target="http://radius.istekkipalvelut.fi:7779/pls/sigmapub/SIG37.SIGE1033?sAlku=01012016&amp;sLoppu=31122016&amp;iYhteiso=736&amp;sTuotekoodi=353&amp;iLkm=55&amp;iGo=2&amp;sSlaji=R" TargetMode="External"/><Relationship Id="rId66" Type="http://schemas.openxmlformats.org/officeDocument/2006/relationships/hyperlink" Target="http://radius.istekkipalvelut.fi:7779/pls/sigmapub/SIG37.SIGE1033?sAlku=01012016&amp;sLoppu=31122016&amp;iYhteiso=736&amp;sTuotekoodi=355&amp;iLkm=62&amp;iGo=2&amp;sSlaji=D" TargetMode="External"/><Relationship Id="rId5" Type="http://schemas.openxmlformats.org/officeDocument/2006/relationships/hyperlink" Target="http://radius.istekkipalvelut.fi:7779/pls/sigmapub/SIG37.SIGE1033?sAlku=01012016&amp;sLoppu=31122016&amp;iYhteiso=736&amp;sTuotekoodi=367A&amp;iLkm=46&amp;iGo=2&amp;sSlaji=TP" TargetMode="External"/><Relationship Id="rId15" Type="http://schemas.openxmlformats.org/officeDocument/2006/relationships/hyperlink" Target="http://radius.istekkipalvelut.fi:7779/pls/sigmapub/SIG37.SIGE1033?sAlku=01012016&amp;sLoppu=31122016&amp;iYhteiso=736&amp;sTuotekoodi=367A&amp;iLkm=46&amp;iGo=2&amp;sSlaji=V" TargetMode="External"/><Relationship Id="rId23" Type="http://schemas.openxmlformats.org/officeDocument/2006/relationships/hyperlink" Target="http://radius.istekkipalvelut.fi:7779/pls/sigmapub/SIG37.SIGE1033?sAlku=01012016&amp;sLoppu=31122016&amp;iYhteiso=736&amp;sTuotekoodi=366&amp;iLkm=76&amp;iGo=2&amp;sSlaji=TA" TargetMode="External"/><Relationship Id="rId28" Type="http://schemas.openxmlformats.org/officeDocument/2006/relationships/hyperlink" Target="http://radius.istekkipalvelut.fi:7779/pls/sigmapub/SIG37.SIGE1033?sAlku=01012016&amp;sLoppu=31122016&amp;iYhteiso=736&amp;sTuotekoodi=366&amp;iLkm=76&amp;iGo=2&amp;sSlaji=F" TargetMode="External"/><Relationship Id="rId36" Type="http://schemas.openxmlformats.org/officeDocument/2006/relationships/hyperlink" Target="http://radius.istekkipalvelut.fi:7779/pls/sigmapub/SIG37.SIGE1033?sAlku=01012016&amp;sLoppu=31122016&amp;iYhteiso=736&amp;sTuotekoodi=366&amp;iLkm=76&amp;iGo=2&amp;sSlaji=PT" TargetMode="External"/><Relationship Id="rId49" Type="http://schemas.openxmlformats.org/officeDocument/2006/relationships/hyperlink" Target="http://radius.istekkipalvelut.fi:7779/pls/sigmapub/SIG37.SIGE1033?sAlku=01012016&amp;sLoppu=31122016&amp;iYhteiso=736&amp;sTuotekoodi=353&amp;iLkm=55&amp;iGo=2&amp;sSlaji=G" TargetMode="External"/><Relationship Id="rId57" Type="http://schemas.openxmlformats.org/officeDocument/2006/relationships/hyperlink" Target="http://radius.istekkipalvelut.fi:7779/pls/sigmapub/SIG37.SIGE1033?sAlku=01012016&amp;sLoppu=31122016&amp;iYhteiso=736&amp;sTuotekoodi=353&amp;iLkm=55&amp;iGo=2&amp;sSlaji=PT" TargetMode="External"/><Relationship Id="rId61" Type="http://schemas.openxmlformats.org/officeDocument/2006/relationships/hyperlink" Target="http://radius.istekkipalvelut.fi:7779/pls/sigmapub/SIG37.SIGE1033?sAlku=01012016&amp;sLoppu=31122016&amp;iYhteiso=736&amp;sTuotekoodi=355&amp;iLkm=62&amp;iGo=2&amp;sSlaji=H" TargetMode="External"/><Relationship Id="rId10" Type="http://schemas.openxmlformats.org/officeDocument/2006/relationships/hyperlink" Target="http://radius.istekkipalvelut.fi:7779/pls/sigmapub/SIG37.SIGE1033?sAlku=01012016&amp;sLoppu=31122016&amp;iYhteiso=736&amp;sTuotekoodi=367A&amp;iLkm=46&amp;iGo=2&amp;sSlaji=G" TargetMode="External"/><Relationship Id="rId19" Type="http://schemas.openxmlformats.org/officeDocument/2006/relationships/hyperlink" Target="http://radius.istekkipalvelut.fi:7779/pls/sigmapub/SIG37.SIGE1033?sAlku=01012016&amp;sLoppu=31122016&amp;iYhteiso=736&amp;sTuotekoodi=366&amp;iLkm=76&amp;iGo=2&amp;sSlaji=M" TargetMode="External"/><Relationship Id="rId31" Type="http://schemas.openxmlformats.org/officeDocument/2006/relationships/hyperlink" Target="http://radius.istekkipalvelut.fi:7779/pls/sigmapub/SIG37.SIGE1033?sAlku=01012016&amp;sLoppu=31122016&amp;iYhteiso=736&amp;sTuotekoodi=366&amp;iLkm=76&amp;iGo=2&amp;sSlaji=K" TargetMode="External"/><Relationship Id="rId44" Type="http://schemas.openxmlformats.org/officeDocument/2006/relationships/hyperlink" Target="http://radius.istekkipalvelut.fi:7779/pls/sigmapub/SIG37.SIGE1033?sAlku=01012016&amp;sLoppu=31122016&amp;iYhteiso=736&amp;sTuotekoodi=353&amp;iLkm=55&amp;iGo=2&amp;sSlaji=TP" TargetMode="External"/><Relationship Id="rId52" Type="http://schemas.openxmlformats.org/officeDocument/2006/relationships/hyperlink" Target="http://radius.istekkipalvelut.fi:7779/pls/sigmapub/SIG37.SIGE1033?sAlku=01012016&amp;sLoppu=31122016&amp;iYhteiso=736&amp;sTuotekoodi=353&amp;iLkm=55&amp;iGo=2&amp;sSlaji=K" TargetMode="External"/><Relationship Id="rId60" Type="http://schemas.openxmlformats.org/officeDocument/2006/relationships/hyperlink" Target="http://radius.istekkipalvelut.fi:7779/pls/sigmapub/SIG37.SIGE1033?sAlku=01012016&amp;sLoppu=31122016&amp;iYhteiso=736&amp;sTuotekoodi=353&amp;iLkm=55&amp;iGo=2&amp;sSlaji=Z" TargetMode="External"/><Relationship Id="rId65" Type="http://schemas.openxmlformats.org/officeDocument/2006/relationships/hyperlink" Target="http://radius.istekkipalvelut.fi:7779/pls/sigmapub/SIG37.SIGE1033?sAlku=01012016&amp;sLoppu=31122016&amp;iYhteiso=736&amp;sTuotekoodi=355&amp;iLkm=62&amp;iGo=2&amp;sSlaji=B" TargetMode="External"/><Relationship Id="rId73" Type="http://schemas.openxmlformats.org/officeDocument/2006/relationships/hyperlink" Target="http://radius.istekkipalvelut.fi:7779/pls/sigmapub/SIG37.SIGE1033?sAlku=01012016&amp;sLoppu=31122016&amp;iYhteiso=736&amp;sTuotekoodi=355&amp;iLkm=62&amp;iGo=2&amp;sSlaji=V" TargetMode="External"/><Relationship Id="rId4" Type="http://schemas.openxmlformats.org/officeDocument/2006/relationships/hyperlink" Target="http://radius.istekkipalvelut.fi:7779/pls/sigmapub/SIG37.SIGE1033?sAlku=01012016&amp;sLoppu=31122016&amp;iYhteiso=736&amp;sTuotekoodi=367A&amp;iLkm=46&amp;iGo=2&amp;sSlaji=S" TargetMode="External"/><Relationship Id="rId9" Type="http://schemas.openxmlformats.org/officeDocument/2006/relationships/hyperlink" Target="http://radius.istekkipalvelut.fi:7779/pls/sigmapub/SIG37.SIGE1033?sAlku=01012016&amp;sLoppu=31122016&amp;iYhteiso=736&amp;sTuotekoodi=367A&amp;iLkm=46&amp;iGo=2&amp;sSlaji=F" TargetMode="External"/><Relationship Id="rId14" Type="http://schemas.openxmlformats.org/officeDocument/2006/relationships/hyperlink" Target="http://radius.istekkipalvelut.fi:7779/pls/sigmapub/SIG37.SIGE1033?sAlku=01012016&amp;sLoppu=31122016&amp;iYhteiso=736&amp;sTuotekoodi=367A&amp;iLkm=46&amp;iGo=2&amp;sSlaji=R" TargetMode="External"/><Relationship Id="rId22" Type="http://schemas.openxmlformats.org/officeDocument/2006/relationships/hyperlink" Target="http://radius.istekkipalvelut.fi:7779/pls/sigmapub/SIG37.SIGE1033?sAlku=01012016&amp;sLoppu=31122016&amp;iYhteiso=736&amp;sTuotekoodi=366&amp;iLkm=76&amp;iGo=2&amp;sSlaji=S" TargetMode="External"/><Relationship Id="rId27" Type="http://schemas.openxmlformats.org/officeDocument/2006/relationships/hyperlink" Target="http://radius.istekkipalvelut.fi:7779/pls/sigmapub/SIG37.SIGE1033?sAlku=01012016&amp;sLoppu=31122016&amp;iYhteiso=736&amp;sTuotekoodi=366&amp;iLkm=76&amp;iGo=2&amp;sSlaji=C" TargetMode="External"/><Relationship Id="rId30" Type="http://schemas.openxmlformats.org/officeDocument/2006/relationships/hyperlink" Target="http://radius.istekkipalvelut.fi:7779/pls/sigmapub/SIG37.SIGE1033?sAlku=01012016&amp;sLoppu=31122016&amp;iYhteiso=736&amp;sTuotekoodi=366&amp;iLkm=76&amp;iGo=2&amp;sSlaji=I" TargetMode="External"/><Relationship Id="rId35" Type="http://schemas.openxmlformats.org/officeDocument/2006/relationships/hyperlink" Target="http://radius.istekkipalvelut.fi:7779/pls/sigmapub/SIG37.SIGE1033?sAlku=01012016&amp;sLoppu=31122016&amp;iYhteiso=736&amp;sTuotekoodi=366&amp;iLkm=76&amp;iGo=2&amp;sSlaji=P" TargetMode="External"/><Relationship Id="rId43" Type="http://schemas.openxmlformats.org/officeDocument/2006/relationships/hyperlink" Target="http://radius.istekkipalvelut.fi:7779/pls/sigmapub/SIG37.SIGE1033?sAlku=01012016&amp;sLoppu=31122016&amp;iYhteiso=736&amp;sTuotekoodi=353&amp;iLkm=55&amp;iGo=2&amp;sSlaji=TA" TargetMode="External"/><Relationship Id="rId48" Type="http://schemas.openxmlformats.org/officeDocument/2006/relationships/hyperlink" Target="http://radius.istekkipalvelut.fi:7779/pls/sigmapub/SIG37.SIGE1033?sAlku=01012016&amp;sLoppu=31122016&amp;iYhteiso=736&amp;sTuotekoodi=353&amp;iLkm=55&amp;iGo=2&amp;sSlaji=F" TargetMode="External"/><Relationship Id="rId56" Type="http://schemas.openxmlformats.org/officeDocument/2006/relationships/hyperlink" Target="http://radius.istekkipalvelut.fi:7779/pls/sigmapub/SIG37.SIGE1033?sAlku=01012016&amp;sLoppu=31122016&amp;iYhteiso=736&amp;sTuotekoodi=353&amp;iLkm=55&amp;iGo=2&amp;sSlaji=P" TargetMode="External"/><Relationship Id="rId64" Type="http://schemas.openxmlformats.org/officeDocument/2006/relationships/hyperlink" Target="http://radius.istekkipalvelut.fi:7779/pls/sigmapub/SIG37.SIGE1033?sAlku=01012016&amp;sLoppu=31122016&amp;iYhteiso=736&amp;sTuotekoodi=355&amp;iLkm=62&amp;iGo=2&amp;sSlaji=TP" TargetMode="External"/><Relationship Id="rId69" Type="http://schemas.openxmlformats.org/officeDocument/2006/relationships/hyperlink" Target="http://radius.istekkipalvelut.fi:7779/pls/sigmapub/SIG37.SIGE1033?sAlku=01012016&amp;sLoppu=31122016&amp;iYhteiso=736&amp;sTuotekoodi=355&amp;iLkm=62&amp;iGo=2&amp;sSlaji=L" TargetMode="External"/><Relationship Id="rId8" Type="http://schemas.openxmlformats.org/officeDocument/2006/relationships/hyperlink" Target="http://radius.istekkipalvelut.fi:7779/pls/sigmapub/SIG37.SIGE1033?sAlku=01012016&amp;sLoppu=31122016&amp;iYhteiso=736&amp;sTuotekoodi=367A&amp;iLkm=46&amp;iGo=2&amp;sSlaji=B" TargetMode="External"/><Relationship Id="rId51" Type="http://schemas.openxmlformats.org/officeDocument/2006/relationships/hyperlink" Target="http://radius.istekkipalvelut.fi:7779/pls/sigmapub/SIG37.SIGE1033?sAlku=01012016&amp;sLoppu=31122016&amp;iYhteiso=736&amp;sTuotekoodi=353&amp;iLkm=55&amp;iGo=2&amp;sSlaji=I" TargetMode="External"/><Relationship Id="rId72" Type="http://schemas.openxmlformats.org/officeDocument/2006/relationships/hyperlink" Target="http://radius.istekkipalvelut.fi:7779/pls/sigmapub/SIG37.SIGE1033?sAlku=01012016&amp;sLoppu=31122016&amp;iYhteiso=736&amp;sTuotekoodi=355&amp;iLkm=62&amp;iGo=2&amp;sSlaji=R" TargetMode="External"/><Relationship Id="rId3" Type="http://schemas.openxmlformats.org/officeDocument/2006/relationships/hyperlink" Target="http://radius.istekkipalvelut.fi:7779/pls/sigmapub/SIG37.SIGE1033?sAlku=01012016&amp;sLoppu=31122016&amp;iYhteiso=736&amp;sTuotekoodi=367A&amp;iLkm=46&amp;iGo=2&amp;sSlaji=M" TargetMode="External"/><Relationship Id="rId12" Type="http://schemas.openxmlformats.org/officeDocument/2006/relationships/hyperlink" Target="http://radius.istekkipalvelut.fi:7779/pls/sigmapub/SIG37.SIGE1033?sAlku=01012016&amp;sLoppu=31122016&amp;iYhteiso=736&amp;sTuotekoodi=367A&amp;iLkm=46&amp;iGo=2&amp;sSlaji=L" TargetMode="External"/><Relationship Id="rId17" Type="http://schemas.openxmlformats.org/officeDocument/2006/relationships/hyperlink" Target="http://radius.istekkipalvelut.fi:7779/pls/sigmapub/SIG37.SIGE1033?sAlku=01012016&amp;sLoppu=31122016&amp;iYhteiso=736&amp;sTuotekoodi=366&amp;iLkm=76&amp;iGo=2&amp;sSlaji=K" TargetMode="External"/><Relationship Id="rId25" Type="http://schemas.openxmlformats.org/officeDocument/2006/relationships/hyperlink" Target="http://radius.istekkipalvelut.fi:7779/pls/sigmapub/SIG37.SIGE1033?sAlku=01012016&amp;sLoppu=31122016&amp;iYhteiso=736&amp;sTuotekoodi=366&amp;iLkm=76&amp;iGo=2&amp;sSlaji=UA" TargetMode="External"/><Relationship Id="rId33" Type="http://schemas.openxmlformats.org/officeDocument/2006/relationships/hyperlink" Target="http://radius.istekkipalvelut.fi:7779/pls/sigmapub/SIG37.SIGE1033?sAlku=01012016&amp;sLoppu=31122016&amp;iYhteiso=736&amp;sTuotekoodi=366&amp;iLkm=76&amp;iGo=2&amp;sSlaji=M" TargetMode="External"/><Relationship Id="rId38" Type="http://schemas.openxmlformats.org/officeDocument/2006/relationships/hyperlink" Target="http://radius.istekkipalvelut.fi:7779/pls/sigmapub/SIG37.SIGE1033?sAlku=01012016&amp;sLoppu=31122016&amp;iYhteiso=736&amp;sTuotekoodi=366&amp;iLkm=76&amp;iGo=2&amp;sSlaji=V" TargetMode="External"/><Relationship Id="rId46" Type="http://schemas.openxmlformats.org/officeDocument/2006/relationships/hyperlink" Target="http://radius.istekkipalvelut.fi:7779/pls/sigmapub/SIG37.SIGE1033?sAlku=01012016&amp;sLoppu=31122016&amp;iYhteiso=736&amp;sTuotekoodi=353&amp;iLkm=55&amp;iGo=2&amp;sSlaji=B" TargetMode="External"/><Relationship Id="rId59" Type="http://schemas.openxmlformats.org/officeDocument/2006/relationships/hyperlink" Target="http://radius.istekkipalvelut.fi:7779/pls/sigmapub/SIG37.SIGE1033?sAlku=01012016&amp;sLoppu=31122016&amp;iYhteiso=736&amp;sTuotekoodi=353&amp;iLkm=55&amp;iGo=2&amp;sSlaji=V" TargetMode="External"/><Relationship Id="rId67" Type="http://schemas.openxmlformats.org/officeDocument/2006/relationships/hyperlink" Target="http://radius.istekkipalvelut.fi:7779/pls/sigmapub/SIG37.SIGE1033?sAlku=01012016&amp;sLoppu=31122016&amp;iYhteiso=736&amp;sTuotekoodi=355&amp;iLkm=62&amp;iGo=2&amp;sSlaji=F" TargetMode="External"/><Relationship Id="rId20" Type="http://schemas.openxmlformats.org/officeDocument/2006/relationships/hyperlink" Target="http://radius.istekkipalvelut.fi:7779/pls/sigmapub/SIG37.SIGE1033?sAlku=01012016&amp;sLoppu=31122016&amp;iYhteiso=736&amp;sTuotekoodi=366&amp;iLkm=76&amp;iGo=2&amp;sSlaji=P" TargetMode="External"/><Relationship Id="rId41" Type="http://schemas.openxmlformats.org/officeDocument/2006/relationships/hyperlink" Target="http://radius.istekkipalvelut.fi:7779/pls/sigmapub/SIG37.SIGE1033?sAlku=01012016&amp;sLoppu=31122016&amp;iYhteiso=736&amp;sTuotekoodi=353&amp;iLkm=55&amp;iGo=2&amp;sSlaji=M" TargetMode="External"/><Relationship Id="rId54" Type="http://schemas.openxmlformats.org/officeDocument/2006/relationships/hyperlink" Target="http://radius.istekkipalvelut.fi:7779/pls/sigmapub/SIG37.SIGE1033?sAlku=01012016&amp;sLoppu=31122016&amp;iYhteiso=736&amp;sTuotekoodi=353&amp;iLkm=55&amp;iGo=2&amp;sSlaji=M" TargetMode="External"/><Relationship Id="rId62" Type="http://schemas.openxmlformats.org/officeDocument/2006/relationships/hyperlink" Target="http://radius.istekkipalvelut.fi:7779/pls/sigmapub/SIG37.SIGE1033?sAlku=01012016&amp;sLoppu=31122016&amp;iYhteiso=736&amp;sTuotekoodi=355&amp;iLkm=62&amp;iGo=2&amp;sSlaji=M" TargetMode="External"/><Relationship Id="rId70" Type="http://schemas.openxmlformats.org/officeDocument/2006/relationships/hyperlink" Target="http://radius.istekkipalvelut.fi:7779/pls/sigmapub/SIG37.SIGE1033?sAlku=01012016&amp;sLoppu=31122016&amp;iYhteiso=736&amp;sTuotekoodi=355&amp;iLkm=62&amp;iGo=2&amp;sSlaji=M" TargetMode="External"/><Relationship Id="rId1" Type="http://schemas.openxmlformats.org/officeDocument/2006/relationships/hyperlink" Target="http://radius.istekkipalvelut.fi:7779/pls/sigmapub/SIG37.SIGE1033?sAlku=01012016&amp;sLoppu=31122016&amp;iYhteiso=736&amp;sTuotekoodi=367A&amp;iLkm=46&amp;iGo=2&amp;sSlaji=H" TargetMode="External"/><Relationship Id="rId6" Type="http://schemas.openxmlformats.org/officeDocument/2006/relationships/hyperlink" Target="http://radius.istekkipalvelut.fi:7779/pls/sigmapub/SIG37.SIGE1033?sAlku=01012016&amp;sLoppu=31122016&amp;iYhteiso=736&amp;sTuotekoodi=367A&amp;iLkm=46&amp;iGo=2&amp;sSlaji=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0"/>
  <sheetViews>
    <sheetView tabSelected="1" zoomScale="70" zoomScaleNormal="70" workbookViewId="0">
      <selection activeCell="C81" sqref="C81"/>
    </sheetView>
  </sheetViews>
  <sheetFormatPr defaultColWidth="9.140625" defaultRowHeight="15.75" x14ac:dyDescent="0.25"/>
  <cols>
    <col min="1" max="1" width="7.5703125" style="1" customWidth="1"/>
    <col min="2" max="2" width="30.28515625" style="1" customWidth="1"/>
    <col min="3" max="3" width="8.140625" style="1" bestFit="1" customWidth="1"/>
    <col min="4" max="4" width="16.28515625" style="41" bestFit="1" customWidth="1"/>
    <col min="5" max="5" width="5.42578125" style="3" hidden="1" customWidth="1"/>
    <col min="6" max="6" width="45.85546875" style="71" customWidth="1"/>
    <col min="7" max="8" width="16.28515625" style="15" hidden="1" customWidth="1"/>
    <col min="9" max="9" width="13.28515625" style="15" hidden="1" customWidth="1"/>
    <col min="10" max="10" width="13.5703125" style="15" hidden="1" customWidth="1"/>
    <col min="11" max="11" width="16.140625" style="15" customWidth="1"/>
    <col min="12" max="12" width="31.5703125" style="4" hidden="1" customWidth="1"/>
    <col min="13" max="14" width="16.28515625" style="15" bestFit="1" customWidth="1"/>
    <col min="15" max="15" width="13.5703125" style="15" customWidth="1"/>
    <col min="16" max="16" width="9.85546875" style="43" hidden="1" customWidth="1"/>
    <col min="17" max="17" width="10" style="43" hidden="1" customWidth="1"/>
    <col min="18" max="19" width="10.5703125" style="43" hidden="1" customWidth="1"/>
    <col min="20" max="20" width="0" style="37" hidden="1" customWidth="1"/>
    <col min="21" max="16384" width="9.140625" style="1"/>
  </cols>
  <sheetData>
    <row r="1" spans="1:20" s="2" customFormat="1" ht="24" thickBot="1" x14ac:dyDescent="0.4">
      <c r="A1" s="175" t="s">
        <v>0</v>
      </c>
      <c r="B1" s="176"/>
      <c r="C1" s="176"/>
      <c r="D1" s="177"/>
      <c r="E1" s="178"/>
      <c r="F1" s="179"/>
      <c r="G1" s="192" t="s">
        <v>172</v>
      </c>
      <c r="H1" s="192"/>
      <c r="I1" s="192"/>
      <c r="J1" s="192"/>
      <c r="K1" s="193"/>
      <c r="L1" s="214" t="s">
        <v>42</v>
      </c>
      <c r="M1" s="216" t="s">
        <v>43</v>
      </c>
      <c r="N1" s="217"/>
      <c r="O1" s="218"/>
      <c r="P1" s="219" t="s">
        <v>46</v>
      </c>
      <c r="Q1" s="220"/>
      <c r="R1" s="220"/>
      <c r="S1" s="221"/>
      <c r="T1" s="37"/>
    </row>
    <row r="2" spans="1:20" s="2" customFormat="1" ht="38.25" thickBot="1" x14ac:dyDescent="0.35">
      <c r="A2" s="180"/>
      <c r="B2" s="181"/>
      <c r="C2" s="181"/>
      <c r="D2" s="182"/>
      <c r="E2" s="183"/>
      <c r="F2" s="184"/>
      <c r="G2" s="185" t="s">
        <v>38</v>
      </c>
      <c r="H2" s="186" t="s">
        <v>39</v>
      </c>
      <c r="I2" s="187" t="s">
        <v>40</v>
      </c>
      <c r="J2" s="186" t="s">
        <v>41</v>
      </c>
      <c r="K2" s="188" t="s">
        <v>173</v>
      </c>
      <c r="L2" s="215"/>
      <c r="M2" s="189" t="s">
        <v>44</v>
      </c>
      <c r="N2" s="190" t="s">
        <v>45</v>
      </c>
      <c r="O2" s="191" t="s">
        <v>154</v>
      </c>
      <c r="P2" s="65" t="s">
        <v>47</v>
      </c>
      <c r="Q2" s="57" t="s">
        <v>156</v>
      </c>
      <c r="R2" s="57" t="s">
        <v>155</v>
      </c>
      <c r="S2" s="66" t="s">
        <v>41</v>
      </c>
      <c r="T2" s="37"/>
    </row>
    <row r="3" spans="1:20" s="2" customFormat="1" ht="23.25" x14ac:dyDescent="0.35">
      <c r="A3" s="149" t="s">
        <v>1</v>
      </c>
      <c r="B3" s="83"/>
      <c r="C3" s="83"/>
      <c r="D3" s="84"/>
      <c r="E3" s="85"/>
      <c r="F3" s="86"/>
      <c r="G3" s="84"/>
      <c r="H3" s="87"/>
      <c r="I3" s="87"/>
      <c r="J3" s="87"/>
      <c r="K3" s="88"/>
      <c r="L3" s="89"/>
      <c r="M3" s="84"/>
      <c r="N3" s="87"/>
      <c r="O3" s="90"/>
      <c r="P3" s="58"/>
      <c r="Q3" s="59"/>
      <c r="R3" s="59"/>
      <c r="S3" s="60"/>
      <c r="T3" s="37"/>
    </row>
    <row r="4" spans="1:20" x14ac:dyDescent="0.25">
      <c r="A4" s="91"/>
      <c r="B4" s="9"/>
      <c r="C4" s="9"/>
      <c r="D4" s="92"/>
      <c r="E4" s="93"/>
      <c r="F4" s="94"/>
      <c r="G4" s="92"/>
      <c r="H4" s="95"/>
      <c r="I4" s="95"/>
      <c r="J4" s="95"/>
      <c r="K4" s="96"/>
      <c r="L4" s="97"/>
      <c r="M4" s="92"/>
      <c r="N4" s="95"/>
      <c r="O4" s="98"/>
      <c r="P4" s="48"/>
      <c r="Q4" s="47"/>
      <c r="R4" s="47"/>
      <c r="S4" s="46"/>
    </row>
    <row r="5" spans="1:20" x14ac:dyDescent="0.25">
      <c r="A5" s="99" t="s">
        <v>2</v>
      </c>
      <c r="B5" s="9"/>
      <c r="C5" s="9"/>
      <c r="D5" s="92"/>
      <c r="E5" s="93"/>
      <c r="F5" s="94"/>
      <c r="G5" s="92"/>
      <c r="H5" s="95"/>
      <c r="I5" s="95"/>
      <c r="J5" s="95"/>
      <c r="K5" s="96"/>
      <c r="L5" s="97"/>
      <c r="M5" s="92"/>
      <c r="N5" s="95"/>
      <c r="O5" s="98"/>
      <c r="P5" s="48"/>
      <c r="Q5" s="47"/>
      <c r="R5" s="47"/>
      <c r="S5" s="46"/>
    </row>
    <row r="6" spans="1:20" ht="30.75" customHeight="1" x14ac:dyDescent="0.25">
      <c r="A6" s="100" t="s">
        <v>29</v>
      </c>
      <c r="B6" s="9" t="s">
        <v>3</v>
      </c>
      <c r="C6" s="9">
        <v>5</v>
      </c>
      <c r="D6" s="92">
        <f>5*48638</f>
        <v>243190</v>
      </c>
      <c r="E6" s="93" t="s">
        <v>11</v>
      </c>
      <c r="F6" s="94" t="s">
        <v>35</v>
      </c>
      <c r="G6" s="92">
        <f>220000-199890</f>
        <v>20110</v>
      </c>
      <c r="H6" s="95">
        <v>2400</v>
      </c>
      <c r="I6" s="95">
        <f>-290000+24300</f>
        <v>-265700</v>
      </c>
      <c r="J6" s="95"/>
      <c r="K6" s="96">
        <f>D6+G6+H6+I6+J6</f>
        <v>0</v>
      </c>
      <c r="L6" s="101" t="s">
        <v>68</v>
      </c>
      <c r="M6" s="8">
        <f>ROUND(K6*50%,0)</f>
        <v>0</v>
      </c>
      <c r="N6" s="102">
        <f>ROUND(K6*50%,0)</f>
        <v>0</v>
      </c>
      <c r="O6" s="98"/>
      <c r="P6" s="44"/>
      <c r="Q6" s="45"/>
      <c r="R6" s="45"/>
      <c r="S6" s="46"/>
      <c r="T6" s="38" t="s">
        <v>147</v>
      </c>
    </row>
    <row r="7" spans="1:20" x14ac:dyDescent="0.25">
      <c r="A7" s="100"/>
      <c r="B7" s="9"/>
      <c r="C7" s="9"/>
      <c r="D7" s="92"/>
      <c r="E7" s="93"/>
      <c r="F7" s="94"/>
      <c r="G7" s="92"/>
      <c r="H7" s="95"/>
      <c r="I7" s="95"/>
      <c r="J7" s="95"/>
      <c r="K7" s="96"/>
      <c r="L7" s="97"/>
      <c r="M7" s="92"/>
      <c r="N7" s="95"/>
      <c r="O7" s="98"/>
      <c r="P7" s="48"/>
      <c r="Q7" s="47"/>
      <c r="R7" s="47"/>
      <c r="S7" s="46"/>
    </row>
    <row r="8" spans="1:20" x14ac:dyDescent="0.25">
      <c r="A8" s="99" t="s">
        <v>10</v>
      </c>
      <c r="B8" s="9"/>
      <c r="C8" s="9"/>
      <c r="D8" s="92"/>
      <c r="E8" s="93"/>
      <c r="F8" s="94"/>
      <c r="G8" s="92"/>
      <c r="H8" s="95"/>
      <c r="I8" s="95"/>
      <c r="J8" s="95"/>
      <c r="K8" s="96"/>
      <c r="L8" s="97"/>
      <c r="M8" s="92"/>
      <c r="N8" s="95"/>
      <c r="O8" s="98"/>
      <c r="P8" s="48"/>
      <c r="Q8" s="47"/>
      <c r="R8" s="47"/>
      <c r="S8" s="46"/>
    </row>
    <row r="9" spans="1:20" x14ac:dyDescent="0.25">
      <c r="A9" s="100" t="s">
        <v>27</v>
      </c>
      <c r="B9" s="9" t="s">
        <v>5</v>
      </c>
      <c r="C9" s="9">
        <v>1</v>
      </c>
      <c r="D9" s="92">
        <v>94094</v>
      </c>
      <c r="E9" s="93" t="s">
        <v>11</v>
      </c>
      <c r="F9" s="94" t="s">
        <v>16</v>
      </c>
      <c r="G9" s="92">
        <v>300000</v>
      </c>
      <c r="H9" s="95">
        <v>20000</v>
      </c>
      <c r="I9" s="95">
        <v>50000</v>
      </c>
      <c r="J9" s="95"/>
      <c r="K9" s="96">
        <f>D9+G9+H9+I9+J9</f>
        <v>464094</v>
      </c>
      <c r="L9" s="97" t="s">
        <v>64</v>
      </c>
      <c r="M9" s="92">
        <f>[1]Taul2!E34</f>
        <v>135000</v>
      </c>
      <c r="N9" s="95">
        <f>[1]Taul2!E35</f>
        <v>315000</v>
      </c>
      <c r="O9" s="98"/>
      <c r="P9" s="48">
        <v>140</v>
      </c>
      <c r="Q9" s="47">
        <v>75</v>
      </c>
      <c r="R9" s="47">
        <v>14</v>
      </c>
      <c r="S9" s="46"/>
      <c r="T9" s="40" t="s">
        <v>72</v>
      </c>
    </row>
    <row r="10" spans="1:20" x14ac:dyDescent="0.25">
      <c r="A10" s="100" t="s">
        <v>28</v>
      </c>
      <c r="B10" s="9" t="s">
        <v>5</v>
      </c>
      <c r="C10" s="9">
        <v>1</v>
      </c>
      <c r="D10" s="92">
        <v>94094</v>
      </c>
      <c r="E10" s="93" t="s">
        <v>11</v>
      </c>
      <c r="F10" s="94" t="s">
        <v>13</v>
      </c>
      <c r="G10" s="92"/>
      <c r="H10" s="95">
        <v>950</v>
      </c>
      <c r="I10" s="95">
        <v>9400</v>
      </c>
      <c r="J10" s="95"/>
      <c r="K10" s="96">
        <f>D10+G10+H10+I10+J10</f>
        <v>104444</v>
      </c>
      <c r="L10" s="103"/>
      <c r="M10" s="92">
        <f>[1]Taul2!E37</f>
        <v>64000</v>
      </c>
      <c r="N10" s="95">
        <f>[1]Taul2!F38</f>
        <v>320000</v>
      </c>
      <c r="O10" s="98"/>
      <c r="P10" s="48"/>
      <c r="Q10" s="47">
        <v>450</v>
      </c>
      <c r="R10" s="47"/>
      <c r="S10" s="46"/>
      <c r="T10" s="40" t="s">
        <v>73</v>
      </c>
    </row>
    <row r="11" spans="1:20" ht="31.5" x14ac:dyDescent="0.25">
      <c r="A11" s="100" t="s">
        <v>27</v>
      </c>
      <c r="B11" s="9" t="s">
        <v>3</v>
      </c>
      <c r="C11" s="9">
        <v>5</v>
      </c>
      <c r="D11" s="92">
        <f>5*47936</f>
        <v>239680</v>
      </c>
      <c r="E11" s="93" t="s">
        <v>11</v>
      </c>
      <c r="F11" s="94" t="s">
        <v>37</v>
      </c>
      <c r="G11" s="92"/>
      <c r="H11" s="95">
        <v>2400</v>
      </c>
      <c r="I11" s="95">
        <f>-300000+24000+33920</f>
        <v>-242080</v>
      </c>
      <c r="J11" s="95"/>
      <c r="K11" s="96">
        <f>D11+G11+H11+I11+J11</f>
        <v>0</v>
      </c>
      <c r="L11" s="97" t="s">
        <v>74</v>
      </c>
      <c r="M11" s="92">
        <f>ROUND(K11*50%,0)</f>
        <v>0</v>
      </c>
      <c r="N11" s="95">
        <f>ROUND(K11*50%,0)</f>
        <v>0</v>
      </c>
      <c r="O11" s="98"/>
      <c r="P11" s="48"/>
      <c r="Q11" s="47"/>
      <c r="R11" s="47"/>
      <c r="S11" s="46"/>
    </row>
    <row r="12" spans="1:20" ht="94.5" x14ac:dyDescent="0.25">
      <c r="A12" s="91">
        <v>14331</v>
      </c>
      <c r="B12" s="9" t="s">
        <v>3</v>
      </c>
      <c r="C12" s="9">
        <v>2</v>
      </c>
      <c r="D12" s="92">
        <f>2*44162</f>
        <v>88324</v>
      </c>
      <c r="E12" s="93" t="s">
        <v>11</v>
      </c>
      <c r="F12" s="94" t="s">
        <v>18</v>
      </c>
      <c r="G12" s="198"/>
      <c r="H12" s="200"/>
      <c r="I12" s="200"/>
      <c r="J12" s="200"/>
      <c r="K12" s="202">
        <v>1360000</v>
      </c>
      <c r="L12" s="104" t="s">
        <v>148</v>
      </c>
      <c r="M12" s="194"/>
      <c r="N12" s="196">
        <f>K12*100%</f>
        <v>1360000</v>
      </c>
      <c r="O12" s="210"/>
      <c r="P12" s="212">
        <v>100</v>
      </c>
      <c r="Q12" s="208">
        <v>300</v>
      </c>
      <c r="R12" s="208">
        <v>100</v>
      </c>
      <c r="S12" s="204">
        <v>102</v>
      </c>
    </row>
    <row r="13" spans="1:20" x14ac:dyDescent="0.25">
      <c r="A13" s="91"/>
      <c r="B13" s="9"/>
      <c r="C13" s="9"/>
      <c r="D13" s="92"/>
      <c r="E13" s="93"/>
      <c r="F13" s="94"/>
      <c r="G13" s="199"/>
      <c r="H13" s="201"/>
      <c r="I13" s="201"/>
      <c r="J13" s="201"/>
      <c r="K13" s="203"/>
      <c r="L13" s="97"/>
      <c r="M13" s="195"/>
      <c r="N13" s="197"/>
      <c r="O13" s="211"/>
      <c r="P13" s="213"/>
      <c r="Q13" s="209"/>
      <c r="R13" s="209"/>
      <c r="S13" s="205"/>
    </row>
    <row r="14" spans="1:20" x14ac:dyDescent="0.25">
      <c r="A14" s="99" t="s">
        <v>19</v>
      </c>
      <c r="B14" s="9"/>
      <c r="C14" s="9"/>
      <c r="D14" s="92"/>
      <c r="E14" s="93"/>
      <c r="F14" s="94"/>
      <c r="G14" s="199"/>
      <c r="H14" s="201"/>
      <c r="I14" s="201"/>
      <c r="J14" s="201"/>
      <c r="K14" s="203"/>
      <c r="L14" s="97"/>
      <c r="M14" s="195"/>
      <c r="N14" s="197"/>
      <c r="O14" s="211"/>
      <c r="P14" s="213"/>
      <c r="Q14" s="209"/>
      <c r="R14" s="209"/>
      <c r="S14" s="205"/>
    </row>
    <row r="15" spans="1:20" x14ac:dyDescent="0.25">
      <c r="A15" s="100" t="s">
        <v>23</v>
      </c>
      <c r="B15" s="9" t="s">
        <v>24</v>
      </c>
      <c r="C15" s="9">
        <v>2</v>
      </c>
      <c r="D15" s="92">
        <f>2*43009</f>
        <v>86018</v>
      </c>
      <c r="E15" s="93" t="s">
        <v>11</v>
      </c>
      <c r="F15" s="94" t="s">
        <v>18</v>
      </c>
      <c r="G15" s="199"/>
      <c r="H15" s="201"/>
      <c r="I15" s="201"/>
      <c r="J15" s="201"/>
      <c r="K15" s="203"/>
      <c r="L15" s="97" t="s">
        <v>75</v>
      </c>
      <c r="M15" s="195"/>
      <c r="N15" s="197"/>
      <c r="O15" s="211"/>
      <c r="P15" s="213"/>
      <c r="Q15" s="209"/>
      <c r="R15" s="209"/>
      <c r="S15" s="205"/>
    </row>
    <row r="16" spans="1:20" x14ac:dyDescent="0.25">
      <c r="A16" s="100" t="s">
        <v>20</v>
      </c>
      <c r="B16" s="9" t="s">
        <v>21</v>
      </c>
      <c r="C16" s="9">
        <v>0.5</v>
      </c>
      <c r="D16" s="92">
        <v>40896</v>
      </c>
      <c r="E16" s="93" t="s">
        <v>11</v>
      </c>
      <c r="F16" s="94" t="s">
        <v>22</v>
      </c>
      <c r="G16" s="194">
        <v>27205</v>
      </c>
      <c r="H16" s="196">
        <v>21031</v>
      </c>
      <c r="I16" s="196">
        <v>52233</v>
      </c>
      <c r="J16" s="196">
        <v>34903</v>
      </c>
      <c r="K16" s="202">
        <f>SUM(D16:D19)+G16+H16+I16+J16</f>
        <v>442853</v>
      </c>
      <c r="L16" s="206" t="s">
        <v>76</v>
      </c>
      <c r="M16" s="194">
        <v>161000</v>
      </c>
      <c r="N16" s="196">
        <v>804000</v>
      </c>
      <c r="O16" s="98"/>
      <c r="P16" s="48"/>
      <c r="Q16" s="47"/>
      <c r="R16" s="47"/>
      <c r="S16" s="204">
        <v>452</v>
      </c>
    </row>
    <row r="17" spans="1:20" x14ac:dyDescent="0.25">
      <c r="A17" s="100" t="s">
        <v>25</v>
      </c>
      <c r="B17" s="9" t="s">
        <v>5</v>
      </c>
      <c r="C17" s="9">
        <v>1</v>
      </c>
      <c r="D17" s="92">
        <v>94549</v>
      </c>
      <c r="E17" s="93" t="s">
        <v>11</v>
      </c>
      <c r="F17" s="94" t="s">
        <v>22</v>
      </c>
      <c r="G17" s="195"/>
      <c r="H17" s="197"/>
      <c r="I17" s="197"/>
      <c r="J17" s="197"/>
      <c r="K17" s="203"/>
      <c r="L17" s="207"/>
      <c r="M17" s="195"/>
      <c r="N17" s="197"/>
      <c r="O17" s="98"/>
      <c r="P17" s="48"/>
      <c r="Q17" s="47"/>
      <c r="R17" s="47"/>
      <c r="S17" s="205"/>
    </row>
    <row r="18" spans="1:20" x14ac:dyDescent="0.25">
      <c r="A18" s="100" t="s">
        <v>25</v>
      </c>
      <c r="B18" s="9" t="s">
        <v>26</v>
      </c>
      <c r="C18" s="9">
        <v>2</v>
      </c>
      <c r="D18" s="92">
        <f>2*43009</f>
        <v>86018</v>
      </c>
      <c r="E18" s="93" t="s">
        <v>11</v>
      </c>
      <c r="F18" s="94" t="s">
        <v>22</v>
      </c>
      <c r="G18" s="195"/>
      <c r="H18" s="197"/>
      <c r="I18" s="197"/>
      <c r="J18" s="197"/>
      <c r="K18" s="203"/>
      <c r="L18" s="207"/>
      <c r="M18" s="195"/>
      <c r="N18" s="197"/>
      <c r="O18" s="98"/>
      <c r="P18" s="48"/>
      <c r="Q18" s="47"/>
      <c r="R18" s="47"/>
      <c r="S18" s="205"/>
    </row>
    <row r="19" spans="1:20" x14ac:dyDescent="0.25">
      <c r="A19" s="100" t="s">
        <v>25</v>
      </c>
      <c r="B19" s="9" t="s">
        <v>3</v>
      </c>
      <c r="C19" s="9">
        <v>2</v>
      </c>
      <c r="D19" s="92">
        <f>2*43009</f>
        <v>86018</v>
      </c>
      <c r="E19" s="93" t="s">
        <v>11</v>
      </c>
      <c r="F19" s="94" t="s">
        <v>22</v>
      </c>
      <c r="G19" s="195"/>
      <c r="H19" s="197"/>
      <c r="I19" s="197"/>
      <c r="J19" s="197"/>
      <c r="K19" s="203"/>
      <c r="L19" s="207"/>
      <c r="M19" s="195"/>
      <c r="N19" s="197"/>
      <c r="O19" s="98"/>
      <c r="P19" s="48"/>
      <c r="Q19" s="47"/>
      <c r="R19" s="47"/>
      <c r="S19" s="205"/>
    </row>
    <row r="20" spans="1:20" x14ac:dyDescent="0.25">
      <c r="A20" s="100"/>
      <c r="B20" s="9"/>
      <c r="C20" s="9"/>
      <c r="D20" s="92"/>
      <c r="E20" s="93"/>
      <c r="F20" s="94"/>
      <c r="G20" s="92"/>
      <c r="H20" s="95"/>
      <c r="I20" s="95"/>
      <c r="J20" s="95"/>
      <c r="K20" s="96"/>
      <c r="L20" s="97"/>
      <c r="M20" s="92"/>
      <c r="N20" s="95"/>
      <c r="O20" s="98"/>
      <c r="P20" s="48"/>
      <c r="Q20" s="47"/>
      <c r="R20" s="47"/>
      <c r="S20" s="46"/>
    </row>
    <row r="21" spans="1:20" x14ac:dyDescent="0.25">
      <c r="A21" s="99" t="s">
        <v>9</v>
      </c>
      <c r="B21" s="9"/>
      <c r="C21" s="9"/>
      <c r="D21" s="92"/>
      <c r="E21" s="93"/>
      <c r="F21" s="94"/>
      <c r="G21" s="92"/>
      <c r="H21" s="95"/>
      <c r="I21" s="95"/>
      <c r="J21" s="95"/>
      <c r="K21" s="96"/>
      <c r="L21" s="97"/>
      <c r="M21" s="92"/>
      <c r="N21" s="95"/>
      <c r="O21" s="98"/>
      <c r="P21" s="48"/>
      <c r="Q21" s="47"/>
      <c r="R21" s="47"/>
      <c r="S21" s="46"/>
    </row>
    <row r="22" spans="1:20" ht="31.5" x14ac:dyDescent="0.25">
      <c r="A22" s="91">
        <v>13653</v>
      </c>
      <c r="B22" s="9" t="s">
        <v>5</v>
      </c>
      <c r="C22" s="9">
        <v>1</v>
      </c>
      <c r="D22" s="92">
        <v>95882</v>
      </c>
      <c r="E22" s="93" t="s">
        <v>11</v>
      </c>
      <c r="F22" s="94" t="s">
        <v>14</v>
      </c>
      <c r="G22" s="92">
        <f>-80*1886.2</f>
        <v>-150896</v>
      </c>
      <c r="H22" s="95"/>
      <c r="I22" s="95"/>
      <c r="J22" s="95"/>
      <c r="K22" s="96">
        <f>D22+G22</f>
        <v>-55014</v>
      </c>
      <c r="L22" s="105" t="s">
        <v>149</v>
      </c>
      <c r="M22" s="92">
        <f>165000-150896</f>
        <v>14104</v>
      </c>
      <c r="N22" s="95">
        <v>55000</v>
      </c>
      <c r="O22" s="98"/>
      <c r="P22" s="48">
        <v>800</v>
      </c>
      <c r="Q22" s="47"/>
      <c r="R22" s="47"/>
      <c r="S22" s="46"/>
    </row>
    <row r="23" spans="1:20" ht="31.5" x14ac:dyDescent="0.25">
      <c r="A23" s="91">
        <v>13653</v>
      </c>
      <c r="B23" s="9" t="s">
        <v>3</v>
      </c>
      <c r="C23" s="9">
        <v>1</v>
      </c>
      <c r="D23" s="92">
        <v>43009</v>
      </c>
      <c r="E23" s="93" t="s">
        <v>11</v>
      </c>
      <c r="F23" s="94" t="s">
        <v>14</v>
      </c>
      <c r="G23" s="92"/>
      <c r="H23" s="95"/>
      <c r="I23" s="95"/>
      <c r="J23" s="95"/>
      <c r="K23" s="96">
        <f>D23</f>
        <v>43009</v>
      </c>
      <c r="L23" s="105" t="s">
        <v>150</v>
      </c>
      <c r="M23" s="92"/>
      <c r="N23" s="95"/>
      <c r="O23" s="98"/>
      <c r="P23" s="48"/>
      <c r="Q23" s="47"/>
      <c r="R23" s="47"/>
      <c r="S23" s="46"/>
    </row>
    <row r="24" spans="1:20" x14ac:dyDescent="0.25">
      <c r="A24" s="91"/>
      <c r="B24" s="9"/>
      <c r="C24" s="9"/>
      <c r="D24" s="92"/>
      <c r="E24" s="93"/>
      <c r="F24" s="94"/>
      <c r="G24" s="92"/>
      <c r="H24" s="95"/>
      <c r="I24" s="95"/>
      <c r="J24" s="95"/>
      <c r="K24" s="96"/>
      <c r="L24" s="91"/>
      <c r="M24" s="106"/>
      <c r="N24" s="95"/>
      <c r="O24" s="98"/>
      <c r="P24" s="47"/>
      <c r="Q24" s="47"/>
      <c r="R24" s="47"/>
      <c r="S24" s="46"/>
    </row>
    <row r="25" spans="1:20" x14ac:dyDescent="0.25">
      <c r="A25" s="99" t="s">
        <v>6</v>
      </c>
      <c r="B25" s="9"/>
      <c r="C25" s="9"/>
      <c r="D25" s="92"/>
      <c r="E25" s="93"/>
      <c r="F25" s="94"/>
      <c r="G25" s="92"/>
      <c r="H25" s="95"/>
      <c r="I25" s="95"/>
      <c r="J25" s="95"/>
      <c r="K25" s="96"/>
      <c r="L25" s="97"/>
      <c r="M25" s="92"/>
      <c r="N25" s="95"/>
      <c r="O25" s="98"/>
      <c r="P25" s="48"/>
      <c r="Q25" s="47"/>
      <c r="R25" s="47"/>
      <c r="S25" s="46"/>
    </row>
    <row r="26" spans="1:20" x14ac:dyDescent="0.25">
      <c r="A26" s="91">
        <v>12103</v>
      </c>
      <c r="B26" s="9" t="s">
        <v>3</v>
      </c>
      <c r="C26" s="9">
        <v>4</v>
      </c>
      <c r="D26" s="92">
        <f>4*47936</f>
        <v>191744</v>
      </c>
      <c r="E26" s="93" t="s">
        <v>11</v>
      </c>
      <c r="F26" s="94" t="s">
        <v>15</v>
      </c>
      <c r="G26" s="92">
        <v>359670</v>
      </c>
      <c r="H26" s="95">
        <v>232806</v>
      </c>
      <c r="I26" s="95">
        <v>212784</v>
      </c>
      <c r="J26" s="95"/>
      <c r="K26" s="96">
        <f>D26+G26+H26+I26+J26</f>
        <v>997004</v>
      </c>
      <c r="L26" s="97" t="s">
        <v>151</v>
      </c>
      <c r="M26" s="92">
        <v>374000</v>
      </c>
      <c r="N26" s="95">
        <v>374000</v>
      </c>
      <c r="O26" s="98"/>
      <c r="P26" s="48"/>
      <c r="Q26" s="47">
        <v>651</v>
      </c>
      <c r="R26" s="47"/>
      <c r="S26" s="46"/>
      <c r="T26" s="37" t="s">
        <v>152</v>
      </c>
    </row>
    <row r="27" spans="1:20" ht="31.5" x14ac:dyDescent="0.25">
      <c r="A27" s="91">
        <v>12108</v>
      </c>
      <c r="B27" s="9" t="s">
        <v>3</v>
      </c>
      <c r="C27" s="9">
        <v>5</v>
      </c>
      <c r="D27" s="92">
        <f>5*47936</f>
        <v>239680</v>
      </c>
      <c r="E27" s="93" t="s">
        <v>11</v>
      </c>
      <c r="F27" s="94" t="s">
        <v>36</v>
      </c>
      <c r="G27" s="92"/>
      <c r="H27" s="95"/>
      <c r="I27" s="95">
        <f>185000-513000+88320</f>
        <v>-239680</v>
      </c>
      <c r="J27" s="95"/>
      <c r="K27" s="96">
        <f t="shared" ref="K27" si="0">D27+G27+H27+I27+J27</f>
        <v>0</v>
      </c>
      <c r="L27" s="97" t="s">
        <v>153</v>
      </c>
      <c r="M27" s="92">
        <f>K27*95%</f>
        <v>0</v>
      </c>
      <c r="N27" s="95">
        <f>K27*5%</f>
        <v>0</v>
      </c>
      <c r="O27" s="98"/>
      <c r="P27" s="48"/>
      <c r="Q27" s="47"/>
      <c r="R27" s="47"/>
      <c r="S27" s="46"/>
    </row>
    <row r="28" spans="1:20" x14ac:dyDescent="0.25">
      <c r="A28" s="91"/>
      <c r="B28" s="9"/>
      <c r="C28" s="9"/>
      <c r="D28" s="92"/>
      <c r="E28" s="93"/>
      <c r="F28" s="94"/>
      <c r="G28" s="92"/>
      <c r="H28" s="95"/>
      <c r="I28" s="95"/>
      <c r="J28" s="95"/>
      <c r="K28" s="96"/>
      <c r="L28" s="97"/>
      <c r="M28" s="92"/>
      <c r="N28" s="95"/>
      <c r="O28" s="98"/>
      <c r="P28" s="48"/>
      <c r="Q28" s="47"/>
      <c r="R28" s="47"/>
      <c r="S28" s="46"/>
    </row>
    <row r="29" spans="1:20" s="166" customFormat="1" ht="21" x14ac:dyDescent="0.35">
      <c r="A29" s="148"/>
      <c r="B29" s="151" t="s">
        <v>34</v>
      </c>
      <c r="C29" s="252">
        <f>SUM(C6:C28)</f>
        <v>32.5</v>
      </c>
      <c r="D29" s="114">
        <f>SUM(D6:D28)</f>
        <v>1723196</v>
      </c>
      <c r="E29" s="152"/>
      <c r="F29" s="153"/>
      <c r="G29" s="114">
        <f>SUM(G3:G28)</f>
        <v>556089</v>
      </c>
      <c r="H29" s="154">
        <f>SUM(H3:H28)</f>
        <v>279587</v>
      </c>
      <c r="I29" s="154">
        <f>SUM(I3:I28)</f>
        <v>-423043</v>
      </c>
      <c r="J29" s="154">
        <f>SUM(J3:J28)</f>
        <v>34903</v>
      </c>
      <c r="K29" s="155">
        <f>SUM(K3:K28)</f>
        <v>3356390</v>
      </c>
      <c r="L29" s="162"/>
      <c r="M29" s="114">
        <f t="shared" ref="M29:S29" si="1">SUM(M3:M28)</f>
        <v>748104</v>
      </c>
      <c r="N29" s="154">
        <f t="shared" si="1"/>
        <v>3228000</v>
      </c>
      <c r="O29" s="158">
        <f t="shared" si="1"/>
        <v>0</v>
      </c>
      <c r="P29" s="163">
        <f t="shared" si="1"/>
        <v>1040</v>
      </c>
      <c r="Q29" s="164">
        <f t="shared" si="1"/>
        <v>1476</v>
      </c>
      <c r="R29" s="164">
        <f t="shared" si="1"/>
        <v>114</v>
      </c>
      <c r="S29" s="165">
        <f t="shared" si="1"/>
        <v>554</v>
      </c>
    </row>
    <row r="30" spans="1:20" ht="16.5" thickBot="1" x14ac:dyDescent="0.3">
      <c r="A30" s="135"/>
      <c r="B30" s="136"/>
      <c r="C30" s="136"/>
      <c r="D30" s="137"/>
      <c r="E30" s="138"/>
      <c r="F30" s="139"/>
      <c r="G30" s="137"/>
      <c r="H30" s="140"/>
      <c r="I30" s="140"/>
      <c r="J30" s="140"/>
      <c r="K30" s="141"/>
      <c r="L30" s="142"/>
      <c r="M30" s="137"/>
      <c r="N30" s="140"/>
      <c r="O30" s="143"/>
      <c r="P30" s="48"/>
      <c r="Q30" s="47"/>
      <c r="R30" s="47"/>
      <c r="S30" s="46"/>
    </row>
    <row r="31" spans="1:20" ht="23.25" x14ac:dyDescent="0.35">
      <c r="A31" s="149" t="s">
        <v>12</v>
      </c>
      <c r="B31" s="9"/>
      <c r="C31" s="9"/>
      <c r="D31" s="92"/>
      <c r="E31" s="93"/>
      <c r="F31" s="94"/>
      <c r="G31" s="92"/>
      <c r="H31" s="95"/>
      <c r="I31" s="95"/>
      <c r="J31" s="95"/>
      <c r="K31" s="96"/>
      <c r="L31" s="97"/>
      <c r="M31" s="106"/>
      <c r="N31" s="95"/>
      <c r="O31" s="98"/>
      <c r="P31" s="61"/>
      <c r="Q31" s="62"/>
      <c r="R31" s="62"/>
      <c r="S31" s="50"/>
      <c r="T31" s="1"/>
    </row>
    <row r="32" spans="1:20" x14ac:dyDescent="0.25">
      <c r="A32" s="91"/>
      <c r="B32" s="9"/>
      <c r="C32" s="9"/>
      <c r="D32" s="92"/>
      <c r="E32" s="93"/>
      <c r="F32" s="94"/>
      <c r="G32" s="92"/>
      <c r="H32" s="95"/>
      <c r="I32" s="95"/>
      <c r="J32" s="95"/>
      <c r="K32" s="96"/>
      <c r="L32" s="97"/>
      <c r="M32" s="106"/>
      <c r="N32" s="95"/>
      <c r="O32" s="98"/>
      <c r="P32" s="61"/>
      <c r="Q32" s="62"/>
      <c r="R32" s="62"/>
      <c r="S32" s="50"/>
      <c r="T32" s="1"/>
    </row>
    <row r="33" spans="1:20" x14ac:dyDescent="0.25">
      <c r="A33" s="99" t="s">
        <v>4</v>
      </c>
      <c r="B33" s="9"/>
      <c r="C33" s="9"/>
      <c r="D33" s="92"/>
      <c r="E33" s="93"/>
      <c r="F33" s="94"/>
      <c r="G33" s="92"/>
      <c r="H33" s="95"/>
      <c r="I33" s="95"/>
      <c r="J33" s="95"/>
      <c r="K33" s="96"/>
      <c r="L33" s="97"/>
      <c r="M33" s="106"/>
      <c r="N33" s="95"/>
      <c r="O33" s="98"/>
      <c r="P33" s="61"/>
      <c r="Q33" s="62"/>
      <c r="R33" s="62"/>
      <c r="S33" s="50"/>
      <c r="T33" s="1"/>
    </row>
    <row r="34" spans="1:20" x14ac:dyDescent="0.25">
      <c r="A34" s="91">
        <v>11065</v>
      </c>
      <c r="B34" s="9" t="s">
        <v>3</v>
      </c>
      <c r="C34" s="9">
        <v>4</v>
      </c>
      <c r="D34" s="92">
        <f>4*44097</f>
        <v>176388</v>
      </c>
      <c r="E34" s="93"/>
      <c r="F34" s="94" t="s">
        <v>17</v>
      </c>
      <c r="G34" s="92"/>
      <c r="H34" s="95">
        <f t="shared" ref="H34" si="2">ROUND(D34*1%,0)</f>
        <v>1764</v>
      </c>
      <c r="I34" s="95">
        <f t="shared" ref="I34" si="3">ROUND(D34*10%,0)</f>
        <v>17639</v>
      </c>
      <c r="J34" s="95"/>
      <c r="K34" s="96">
        <f t="shared" ref="K34" si="4">D34+G34+H34+I34+J34</f>
        <v>195791</v>
      </c>
      <c r="L34" s="97"/>
      <c r="M34" s="106">
        <f t="shared" ref="M34" si="5">K34</f>
        <v>195791</v>
      </c>
      <c r="N34" s="95"/>
      <c r="O34" s="98"/>
      <c r="P34" s="61"/>
      <c r="Q34" s="62"/>
      <c r="R34" s="62"/>
      <c r="S34" s="50"/>
      <c r="T34" s="1"/>
    </row>
    <row r="35" spans="1:20" x14ac:dyDescent="0.25">
      <c r="A35" s="91"/>
      <c r="B35" s="9"/>
      <c r="C35" s="9"/>
      <c r="D35" s="92"/>
      <c r="E35" s="93"/>
      <c r="F35" s="94"/>
      <c r="G35" s="92"/>
      <c r="H35" s="95"/>
      <c r="I35" s="95"/>
      <c r="J35" s="95"/>
      <c r="K35" s="96"/>
      <c r="L35" s="97"/>
      <c r="M35" s="106"/>
      <c r="N35" s="95"/>
      <c r="O35" s="98"/>
      <c r="P35" s="61"/>
      <c r="Q35" s="62"/>
      <c r="R35" s="62"/>
      <c r="S35" s="50"/>
      <c r="T35" s="1"/>
    </row>
    <row r="36" spans="1:20" x14ac:dyDescent="0.25">
      <c r="A36" s="110" t="s">
        <v>7</v>
      </c>
      <c r="B36" s="9"/>
      <c r="C36" s="9"/>
      <c r="D36" s="92"/>
      <c r="E36" s="93"/>
      <c r="F36" s="94"/>
      <c r="G36" s="92"/>
      <c r="H36" s="95"/>
      <c r="I36" s="95"/>
      <c r="J36" s="95"/>
      <c r="K36" s="96"/>
      <c r="L36" s="97"/>
      <c r="M36" s="106"/>
      <c r="N36" s="95"/>
      <c r="O36" s="98"/>
      <c r="P36" s="61"/>
      <c r="Q36" s="62"/>
      <c r="R36" s="62"/>
      <c r="S36" s="50"/>
      <c r="T36" s="1"/>
    </row>
    <row r="37" spans="1:20" x14ac:dyDescent="0.25">
      <c r="A37" s="91">
        <v>14333</v>
      </c>
      <c r="B37" s="9" t="s">
        <v>3</v>
      </c>
      <c r="C37" s="9">
        <v>6</v>
      </c>
      <c r="D37" s="92">
        <f>6*44162</f>
        <v>264972</v>
      </c>
      <c r="E37" s="93"/>
      <c r="F37" s="94" t="s">
        <v>165</v>
      </c>
      <c r="G37" s="92"/>
      <c r="H37" s="95">
        <f t="shared" ref="H37" si="6">ROUND(D37*1%,0)</f>
        <v>2650</v>
      </c>
      <c r="I37" s="95">
        <f t="shared" ref="I37" si="7">ROUND(D37*10%,0)</f>
        <v>26497</v>
      </c>
      <c r="J37" s="95"/>
      <c r="K37" s="96">
        <f t="shared" ref="K37" si="8">D37+G37+H37+I37+J37</f>
        <v>294119</v>
      </c>
      <c r="L37" s="97"/>
      <c r="M37" s="106">
        <v>240000</v>
      </c>
      <c r="N37" s="95"/>
      <c r="O37" s="98"/>
      <c r="P37" s="61"/>
      <c r="Q37" s="62"/>
      <c r="R37" s="62"/>
      <c r="S37" s="50"/>
      <c r="T37" s="37" t="s">
        <v>166</v>
      </c>
    </row>
    <row r="38" spans="1:20" x14ac:dyDescent="0.25">
      <c r="A38" s="91"/>
      <c r="B38" s="9"/>
      <c r="C38" s="9"/>
      <c r="D38" s="92"/>
      <c r="E38" s="93"/>
      <c r="F38" s="94"/>
      <c r="G38" s="92"/>
      <c r="H38" s="95"/>
      <c r="I38" s="95"/>
      <c r="J38" s="95"/>
      <c r="K38" s="96"/>
      <c r="L38" s="97"/>
      <c r="M38" s="106"/>
      <c r="N38" s="95"/>
      <c r="O38" s="98"/>
      <c r="P38" s="61"/>
      <c r="Q38" s="62"/>
      <c r="R38" s="62"/>
      <c r="S38" s="50"/>
      <c r="T38" s="1"/>
    </row>
    <row r="39" spans="1:20" x14ac:dyDescent="0.25">
      <c r="A39" s="99" t="s">
        <v>33</v>
      </c>
      <c r="B39" s="9"/>
      <c r="C39" s="9"/>
      <c r="D39" s="92"/>
      <c r="E39" s="93"/>
      <c r="F39" s="94"/>
      <c r="G39" s="92"/>
      <c r="H39" s="95"/>
      <c r="I39" s="95"/>
      <c r="J39" s="95"/>
      <c r="K39" s="96"/>
      <c r="L39" s="97"/>
      <c r="M39" s="106"/>
      <c r="N39" s="95"/>
      <c r="O39" s="98"/>
      <c r="P39" s="61"/>
      <c r="Q39" s="62"/>
      <c r="R39" s="62"/>
      <c r="S39" s="50"/>
      <c r="T39" s="1"/>
    </row>
    <row r="40" spans="1:20" x14ac:dyDescent="0.25">
      <c r="A40" s="100">
        <v>14361</v>
      </c>
      <c r="B40" s="9" t="s">
        <v>5</v>
      </c>
      <c r="C40" s="9">
        <v>3</v>
      </c>
      <c r="D40" s="92">
        <f>3*94549</f>
        <v>283647</v>
      </c>
      <c r="E40" s="93"/>
      <c r="F40" s="94" t="s">
        <v>31</v>
      </c>
      <c r="G40" s="92"/>
      <c r="H40" s="95">
        <f t="shared" ref="H40:H44" si="9">ROUND(D40*1%,0)</f>
        <v>2836</v>
      </c>
      <c r="I40" s="95">
        <f t="shared" ref="I40:I44" si="10">ROUND(D40*10%,0)</f>
        <v>28365</v>
      </c>
      <c r="J40" s="95"/>
      <c r="K40" s="96">
        <f t="shared" ref="K40:K44" si="11">D40+G40+H40+I40+J40</f>
        <v>314848</v>
      </c>
      <c r="L40" s="97"/>
      <c r="M40" s="106">
        <f>K40</f>
        <v>314848</v>
      </c>
      <c r="N40" s="95"/>
      <c r="O40" s="98"/>
      <c r="P40" s="61"/>
      <c r="Q40" s="62"/>
      <c r="R40" s="62"/>
      <c r="S40" s="50"/>
      <c r="T40" s="1"/>
    </row>
    <row r="41" spans="1:20" x14ac:dyDescent="0.25">
      <c r="A41" s="100" t="s">
        <v>29</v>
      </c>
      <c r="B41" s="9" t="s">
        <v>5</v>
      </c>
      <c r="C41" s="9">
        <v>1</v>
      </c>
      <c r="D41" s="92">
        <v>108925</v>
      </c>
      <c r="E41" s="93"/>
      <c r="F41" s="94" t="s">
        <v>157</v>
      </c>
      <c r="G41" s="111"/>
      <c r="H41" s="95">
        <f t="shared" si="9"/>
        <v>1089</v>
      </c>
      <c r="I41" s="95">
        <f t="shared" si="10"/>
        <v>10893</v>
      </c>
      <c r="J41" s="112"/>
      <c r="K41" s="96">
        <f t="shared" si="11"/>
        <v>120907</v>
      </c>
      <c r="L41" s="97" t="s">
        <v>69</v>
      </c>
      <c r="M41" s="113">
        <f>ROUND(K41*95%,0)</f>
        <v>114862</v>
      </c>
      <c r="N41" s="112">
        <f>ROUND(K41*5%,0)</f>
        <v>6045</v>
      </c>
      <c r="O41" s="98"/>
      <c r="P41" s="49">
        <v>-200</v>
      </c>
      <c r="Q41" s="67">
        <v>-500</v>
      </c>
      <c r="R41" s="67"/>
      <c r="S41" s="50"/>
      <c r="T41" s="39" t="s">
        <v>70</v>
      </c>
    </row>
    <row r="42" spans="1:20" x14ac:dyDescent="0.25">
      <c r="A42" s="100">
        <v>14991</v>
      </c>
      <c r="B42" s="9" t="s">
        <v>5</v>
      </c>
      <c r="C42" s="9">
        <v>1</v>
      </c>
      <c r="D42" s="92">
        <v>101496</v>
      </c>
      <c r="E42" s="93"/>
      <c r="F42" s="94" t="s">
        <v>158</v>
      </c>
      <c r="G42" s="92"/>
      <c r="H42" s="95">
        <f t="shared" si="9"/>
        <v>1015</v>
      </c>
      <c r="I42" s="95">
        <f t="shared" si="10"/>
        <v>10150</v>
      </c>
      <c r="J42" s="95"/>
      <c r="K42" s="96">
        <f t="shared" si="11"/>
        <v>112661</v>
      </c>
      <c r="L42" s="97"/>
      <c r="M42" s="106">
        <f>K42</f>
        <v>112661</v>
      </c>
      <c r="N42" s="95"/>
      <c r="O42" s="98"/>
      <c r="P42" s="61"/>
      <c r="Q42" s="62"/>
      <c r="R42" s="62"/>
      <c r="S42" s="50"/>
      <c r="T42" s="1"/>
    </row>
    <row r="43" spans="1:20" x14ac:dyDescent="0.25">
      <c r="A43" s="100">
        <v>14991</v>
      </c>
      <c r="B43" s="9" t="s">
        <v>3</v>
      </c>
      <c r="C43" s="9">
        <v>3</v>
      </c>
      <c r="D43" s="92">
        <f>3*44097</f>
        <v>132291</v>
      </c>
      <c r="E43" s="93"/>
      <c r="F43" s="94" t="s">
        <v>159</v>
      </c>
      <c r="G43" s="92"/>
      <c r="H43" s="95">
        <f t="shared" si="9"/>
        <v>1323</v>
      </c>
      <c r="I43" s="95">
        <f t="shared" si="10"/>
        <v>13229</v>
      </c>
      <c r="J43" s="95"/>
      <c r="K43" s="96">
        <f t="shared" si="11"/>
        <v>146843</v>
      </c>
      <c r="L43" s="97"/>
      <c r="M43" s="106">
        <f t="shared" ref="M43:M44" si="12">K43</f>
        <v>146843</v>
      </c>
      <c r="N43" s="95"/>
      <c r="O43" s="98"/>
      <c r="P43" s="61"/>
      <c r="Q43" s="62"/>
      <c r="R43" s="62"/>
      <c r="S43" s="50"/>
      <c r="T43" s="1"/>
    </row>
    <row r="44" spans="1:20" x14ac:dyDescent="0.25">
      <c r="A44" s="100">
        <v>14992</v>
      </c>
      <c r="B44" s="9" t="s">
        <v>3</v>
      </c>
      <c r="C44" s="9">
        <v>3</v>
      </c>
      <c r="D44" s="92">
        <f>3*44113</f>
        <v>132339</v>
      </c>
      <c r="E44" s="93"/>
      <c r="F44" s="94" t="s">
        <v>159</v>
      </c>
      <c r="G44" s="92"/>
      <c r="H44" s="95">
        <f t="shared" si="9"/>
        <v>1323</v>
      </c>
      <c r="I44" s="95">
        <f t="shared" si="10"/>
        <v>13234</v>
      </c>
      <c r="J44" s="95"/>
      <c r="K44" s="96">
        <f t="shared" si="11"/>
        <v>146896</v>
      </c>
      <c r="L44" s="97"/>
      <c r="M44" s="106">
        <f t="shared" si="12"/>
        <v>146896</v>
      </c>
      <c r="N44" s="95"/>
      <c r="O44" s="98"/>
      <c r="P44" s="61"/>
      <c r="Q44" s="62"/>
      <c r="R44" s="62"/>
      <c r="S44" s="50"/>
      <c r="T44" s="1"/>
    </row>
    <row r="45" spans="1:20" x14ac:dyDescent="0.25">
      <c r="A45" s="100"/>
      <c r="B45" s="9"/>
      <c r="C45" s="9"/>
      <c r="D45" s="92"/>
      <c r="E45" s="93"/>
      <c r="F45" s="94"/>
      <c r="G45" s="92"/>
      <c r="H45" s="95"/>
      <c r="I45" s="95"/>
      <c r="J45" s="95"/>
      <c r="K45" s="96"/>
      <c r="L45" s="97"/>
      <c r="M45" s="106"/>
      <c r="N45" s="95"/>
      <c r="O45" s="98"/>
      <c r="P45" s="61"/>
      <c r="Q45" s="62"/>
      <c r="R45" s="62"/>
      <c r="S45" s="50"/>
      <c r="T45" s="1"/>
    </row>
    <row r="46" spans="1:20" s="150" customFormat="1" ht="21" x14ac:dyDescent="0.35">
      <c r="A46" s="148"/>
      <c r="B46" s="151" t="s">
        <v>34</v>
      </c>
      <c r="C46" s="252">
        <f>SUM(C34:C44)</f>
        <v>21</v>
      </c>
      <c r="D46" s="114">
        <f>SUM(D34:D44)</f>
        <v>1200058</v>
      </c>
      <c r="E46" s="152"/>
      <c r="F46" s="153"/>
      <c r="G46" s="114">
        <f>SUM(G34:G44)</f>
        <v>0</v>
      </c>
      <c r="H46" s="154">
        <f>SUM(H34:H44)</f>
        <v>12000</v>
      </c>
      <c r="I46" s="154">
        <f t="shared" ref="I46:J46" si="13">SUM(I34:I44)</f>
        <v>120007</v>
      </c>
      <c r="J46" s="154">
        <f t="shared" si="13"/>
        <v>0</v>
      </c>
      <c r="K46" s="155">
        <f>SUM(K34:K44)</f>
        <v>1332065</v>
      </c>
      <c r="L46" s="162"/>
      <c r="M46" s="157">
        <f>SUM(M34:M44)</f>
        <v>1271901</v>
      </c>
      <c r="N46" s="154">
        <f>SUM(N34:N44)</f>
        <v>6045</v>
      </c>
      <c r="O46" s="158">
        <f>SUM(O34:O44)</f>
        <v>0</v>
      </c>
      <c r="P46" s="167">
        <f>SUM(P34:P45)</f>
        <v>-200</v>
      </c>
      <c r="Q46" s="56">
        <f>SUM(Q34:Q45)</f>
        <v>-500</v>
      </c>
      <c r="R46" s="56">
        <f>SUM(R34:R45)</f>
        <v>0</v>
      </c>
      <c r="S46" s="168">
        <f>SUM(S34:S45)</f>
        <v>0</v>
      </c>
    </row>
    <row r="47" spans="1:20" s="42" customFormat="1" x14ac:dyDescent="0.25">
      <c r="A47" s="91"/>
      <c r="B47" s="9"/>
      <c r="C47" s="9"/>
      <c r="D47" s="92"/>
      <c r="E47" s="93"/>
      <c r="F47" s="94"/>
      <c r="G47" s="92"/>
      <c r="H47" s="95"/>
      <c r="I47" s="95"/>
      <c r="J47" s="95"/>
      <c r="K47" s="96"/>
      <c r="L47" s="97"/>
      <c r="M47" s="106"/>
      <c r="N47" s="95"/>
      <c r="O47" s="98"/>
      <c r="P47" s="63"/>
      <c r="Q47" s="64"/>
      <c r="R47" s="64"/>
      <c r="S47" s="53"/>
    </row>
    <row r="48" spans="1:20" s="42" customFormat="1" ht="23.25" x14ac:dyDescent="0.35">
      <c r="A48" s="149" t="s">
        <v>160</v>
      </c>
      <c r="B48" s="9"/>
      <c r="C48" s="9"/>
      <c r="D48" s="92"/>
      <c r="E48" s="93"/>
      <c r="F48" s="94"/>
      <c r="G48" s="92"/>
      <c r="H48" s="95"/>
      <c r="I48" s="95"/>
      <c r="J48" s="95"/>
      <c r="K48" s="96"/>
      <c r="L48" s="97"/>
      <c r="M48" s="106"/>
      <c r="N48" s="95"/>
      <c r="O48" s="98"/>
      <c r="P48" s="63"/>
      <c r="Q48" s="64"/>
      <c r="R48" s="64"/>
      <c r="S48" s="53"/>
    </row>
    <row r="49" spans="1:20" s="42" customFormat="1" x14ac:dyDescent="0.25">
      <c r="A49" s="91"/>
      <c r="B49" s="9"/>
      <c r="C49" s="9"/>
      <c r="D49" s="92"/>
      <c r="E49" s="93"/>
      <c r="F49" s="94"/>
      <c r="G49" s="92"/>
      <c r="H49" s="95"/>
      <c r="I49" s="95"/>
      <c r="J49" s="95"/>
      <c r="K49" s="96"/>
      <c r="L49" s="97"/>
      <c r="M49" s="106"/>
      <c r="N49" s="95"/>
      <c r="O49" s="98"/>
      <c r="P49" s="63"/>
      <c r="Q49" s="64"/>
      <c r="R49" s="64"/>
      <c r="S49" s="53"/>
    </row>
    <row r="50" spans="1:20" x14ac:dyDescent="0.25">
      <c r="A50" s="99" t="s">
        <v>7</v>
      </c>
      <c r="B50" s="9"/>
      <c r="C50" s="9"/>
      <c r="D50" s="92"/>
      <c r="E50" s="93"/>
      <c r="F50" s="94"/>
      <c r="G50" s="92"/>
      <c r="H50" s="95"/>
      <c r="I50" s="95"/>
      <c r="J50" s="95"/>
      <c r="K50" s="96"/>
      <c r="L50" s="97"/>
      <c r="M50" s="106"/>
      <c r="N50" s="95"/>
      <c r="O50" s="98"/>
      <c r="P50" s="63"/>
      <c r="Q50" s="64"/>
      <c r="R50" s="64"/>
      <c r="S50" s="53"/>
      <c r="T50" s="1"/>
    </row>
    <row r="51" spans="1:20" x14ac:dyDescent="0.25">
      <c r="A51" s="91">
        <v>12201</v>
      </c>
      <c r="B51" s="9" t="s">
        <v>3</v>
      </c>
      <c r="C51" s="9">
        <v>1</v>
      </c>
      <c r="D51" s="92">
        <v>43009</v>
      </c>
      <c r="E51" s="93"/>
      <c r="F51" s="94" t="s">
        <v>161</v>
      </c>
      <c r="G51" s="222">
        <v>80000</v>
      </c>
      <c r="H51" s="196">
        <f>ROUND((D51+D52)*1%,0)+70000</f>
        <v>71406</v>
      </c>
      <c r="I51" s="196">
        <f>ROUND((D51+D52)*10%,0)</f>
        <v>14065</v>
      </c>
      <c r="J51" s="200"/>
      <c r="K51" s="202">
        <f>D51+D52+H51+I51+G51</f>
        <v>306118</v>
      </c>
      <c r="L51" s="227"/>
      <c r="M51" s="194"/>
      <c r="N51" s="196">
        <f>K51</f>
        <v>306118</v>
      </c>
      <c r="O51" s="210"/>
      <c r="P51" s="231"/>
      <c r="Q51" s="233"/>
      <c r="R51" s="233"/>
      <c r="S51" s="235"/>
      <c r="T51" s="1" t="s">
        <v>164</v>
      </c>
    </row>
    <row r="52" spans="1:20" x14ac:dyDescent="0.25">
      <c r="A52" s="91">
        <v>12203</v>
      </c>
      <c r="B52" s="9" t="s">
        <v>5</v>
      </c>
      <c r="C52" s="9">
        <v>1</v>
      </c>
      <c r="D52" s="92">
        <v>97638</v>
      </c>
      <c r="E52" s="93"/>
      <c r="F52" s="94" t="s">
        <v>161</v>
      </c>
      <c r="G52" s="223"/>
      <c r="H52" s="224"/>
      <c r="I52" s="224"/>
      <c r="J52" s="225"/>
      <c r="K52" s="226"/>
      <c r="L52" s="228"/>
      <c r="M52" s="229"/>
      <c r="N52" s="224"/>
      <c r="O52" s="230"/>
      <c r="P52" s="232"/>
      <c r="Q52" s="234"/>
      <c r="R52" s="234"/>
      <c r="S52" s="236"/>
      <c r="T52" s="1"/>
    </row>
    <row r="53" spans="1:20" x14ac:dyDescent="0.25">
      <c r="A53" s="91"/>
      <c r="B53" s="9"/>
      <c r="C53" s="9"/>
      <c r="D53" s="92"/>
      <c r="E53" s="93"/>
      <c r="F53" s="94"/>
      <c r="G53" s="92"/>
      <c r="H53" s="95"/>
      <c r="I53" s="95"/>
      <c r="J53" s="95"/>
      <c r="K53" s="96"/>
      <c r="L53" s="97"/>
      <c r="M53" s="106"/>
      <c r="N53" s="95"/>
      <c r="O53" s="98"/>
      <c r="P53" s="63"/>
      <c r="Q53" s="64"/>
      <c r="R53" s="64"/>
      <c r="S53" s="53"/>
      <c r="T53" s="1"/>
    </row>
    <row r="54" spans="1:20" x14ac:dyDescent="0.25">
      <c r="A54" s="99" t="s">
        <v>2</v>
      </c>
      <c r="B54" s="9"/>
      <c r="C54" s="9"/>
      <c r="D54" s="92"/>
      <c r="E54" s="93"/>
      <c r="F54" s="94"/>
      <c r="G54" s="92"/>
      <c r="H54" s="95"/>
      <c r="I54" s="95"/>
      <c r="J54" s="95"/>
      <c r="K54" s="96"/>
      <c r="L54" s="97"/>
      <c r="M54" s="106"/>
      <c r="N54" s="95"/>
      <c r="O54" s="98"/>
      <c r="P54" s="63"/>
      <c r="Q54" s="64"/>
      <c r="R54" s="64"/>
      <c r="S54" s="53"/>
      <c r="T54" s="1"/>
    </row>
    <row r="55" spans="1:20" ht="78.75" x14ac:dyDescent="0.25">
      <c r="A55" s="100" t="s">
        <v>30</v>
      </c>
      <c r="B55" s="9" t="s">
        <v>5</v>
      </c>
      <c r="C55" s="9">
        <v>1</v>
      </c>
      <c r="D55" s="92">
        <v>96061</v>
      </c>
      <c r="E55" s="93"/>
      <c r="F55" s="94" t="s">
        <v>32</v>
      </c>
      <c r="G55" s="115">
        <v>304380</v>
      </c>
      <c r="H55" s="116">
        <v>122477</v>
      </c>
      <c r="I55" s="116">
        <f>Taul2!F135</f>
        <v>0</v>
      </c>
      <c r="J55" s="116">
        <v>70353</v>
      </c>
      <c r="K55" s="96">
        <f>D55+G55+H55+I55+J55</f>
        <v>593271</v>
      </c>
      <c r="L55" s="104" t="s">
        <v>71</v>
      </c>
      <c r="M55" s="117"/>
      <c r="N55" s="116">
        <f>ROUND(K55*100%,0)</f>
        <v>593271</v>
      </c>
      <c r="O55" s="109"/>
      <c r="P55" s="52"/>
      <c r="Q55" s="51">
        <v>80</v>
      </c>
      <c r="R55" s="51">
        <v>80</v>
      </c>
      <c r="S55" s="53"/>
      <c r="T55" s="1"/>
    </row>
    <row r="56" spans="1:20" x14ac:dyDescent="0.25">
      <c r="A56" s="100"/>
      <c r="B56" s="9"/>
      <c r="C56" s="9"/>
      <c r="D56" s="92"/>
      <c r="E56" s="93"/>
      <c r="F56" s="94"/>
      <c r="G56" s="92"/>
      <c r="H56" s="95"/>
      <c r="I56" s="95"/>
      <c r="J56" s="95"/>
      <c r="K56" s="96"/>
      <c r="L56" s="97"/>
      <c r="M56" s="106"/>
      <c r="N56" s="95"/>
      <c r="O56" s="98"/>
      <c r="P56" s="63"/>
      <c r="Q56" s="64"/>
      <c r="R56" s="64"/>
      <c r="S56" s="53"/>
      <c r="T56" s="1"/>
    </row>
    <row r="57" spans="1:20" x14ac:dyDescent="0.25">
      <c r="A57" s="99" t="s">
        <v>8</v>
      </c>
      <c r="B57" s="9"/>
      <c r="C57" s="9"/>
      <c r="D57" s="92"/>
      <c r="E57" s="93"/>
      <c r="F57" s="94"/>
      <c r="G57" s="92"/>
      <c r="H57" s="95"/>
      <c r="I57" s="95"/>
      <c r="J57" s="95"/>
      <c r="K57" s="96"/>
      <c r="L57" s="97"/>
      <c r="M57" s="106"/>
      <c r="N57" s="95"/>
      <c r="O57" s="98"/>
      <c r="P57" s="63"/>
      <c r="Q57" s="64"/>
      <c r="R57" s="64"/>
      <c r="S57" s="53"/>
      <c r="T57" s="1"/>
    </row>
    <row r="58" spans="1:20" ht="63" x14ac:dyDescent="0.25">
      <c r="A58" s="91">
        <v>12304</v>
      </c>
      <c r="B58" s="9" t="s">
        <v>5</v>
      </c>
      <c r="C58" s="9">
        <v>1</v>
      </c>
      <c r="D58" s="92">
        <v>103538</v>
      </c>
      <c r="E58" s="93"/>
      <c r="F58" s="94" t="s">
        <v>162</v>
      </c>
      <c r="G58" s="92">
        <v>30000</v>
      </c>
      <c r="H58" s="95">
        <v>40000</v>
      </c>
      <c r="I58" s="95">
        <v>350000</v>
      </c>
      <c r="J58" s="95"/>
      <c r="K58" s="96">
        <f>D58+G58+H58+I58</f>
        <v>523538</v>
      </c>
      <c r="L58" s="105" t="s">
        <v>77</v>
      </c>
      <c r="M58" s="106"/>
      <c r="N58" s="95">
        <v>565000</v>
      </c>
      <c r="O58" s="98"/>
      <c r="P58" s="63"/>
      <c r="Q58" s="64">
        <v>250</v>
      </c>
      <c r="R58" s="64">
        <v>60</v>
      </c>
      <c r="S58" s="53"/>
      <c r="T58" s="37" t="s">
        <v>146</v>
      </c>
    </row>
    <row r="59" spans="1:20" x14ac:dyDescent="0.25">
      <c r="A59" s="91"/>
      <c r="B59" s="9"/>
      <c r="C59" s="9"/>
      <c r="D59" s="92"/>
      <c r="E59" s="93"/>
      <c r="F59" s="94"/>
      <c r="G59" s="92"/>
      <c r="H59" s="95"/>
      <c r="I59" s="95"/>
      <c r="J59" s="95"/>
      <c r="K59" s="96"/>
      <c r="L59" s="97"/>
      <c r="M59" s="106"/>
      <c r="N59" s="95"/>
      <c r="O59" s="98"/>
      <c r="P59" s="63"/>
      <c r="Q59" s="64"/>
      <c r="R59" s="64"/>
      <c r="S59" s="53"/>
      <c r="T59" s="1"/>
    </row>
    <row r="60" spans="1:20" s="150" customFormat="1" ht="21" x14ac:dyDescent="0.35">
      <c r="A60" s="148"/>
      <c r="B60" s="151" t="s">
        <v>34</v>
      </c>
      <c r="C60" s="252">
        <f>SUM(C51:C59)</f>
        <v>4</v>
      </c>
      <c r="D60" s="114">
        <f>SUM(D51:D59)</f>
        <v>340246</v>
      </c>
      <c r="E60" s="152"/>
      <c r="F60" s="153"/>
      <c r="G60" s="114">
        <f>SUM(G51:G58)</f>
        <v>414380</v>
      </c>
      <c r="H60" s="154">
        <f>SUM(H51:H58)</f>
        <v>233883</v>
      </c>
      <c r="I60" s="154">
        <f t="shared" ref="I60:S60" si="14">SUM(I51:I58)</f>
        <v>364065</v>
      </c>
      <c r="J60" s="154">
        <f t="shared" si="14"/>
        <v>70353</v>
      </c>
      <c r="K60" s="155">
        <f t="shared" si="14"/>
        <v>1422927</v>
      </c>
      <c r="L60" s="156"/>
      <c r="M60" s="157">
        <f t="shared" si="14"/>
        <v>0</v>
      </c>
      <c r="N60" s="154">
        <f t="shared" si="14"/>
        <v>1464389</v>
      </c>
      <c r="O60" s="158">
        <f t="shared" si="14"/>
        <v>0</v>
      </c>
      <c r="P60" s="159">
        <f t="shared" si="14"/>
        <v>0</v>
      </c>
      <c r="Q60" s="160">
        <f t="shared" si="14"/>
        <v>330</v>
      </c>
      <c r="R60" s="160">
        <f t="shared" si="14"/>
        <v>140</v>
      </c>
      <c r="S60" s="161">
        <f t="shared" si="14"/>
        <v>0</v>
      </c>
    </row>
    <row r="61" spans="1:20" s="42" customFormat="1" ht="19.5" thickBot="1" x14ac:dyDescent="0.35">
      <c r="A61" s="135"/>
      <c r="B61" s="144"/>
      <c r="C61" s="82"/>
      <c r="D61" s="145"/>
      <c r="E61" s="138"/>
      <c r="F61" s="146"/>
      <c r="G61" s="137"/>
      <c r="H61" s="140"/>
      <c r="I61" s="140"/>
      <c r="J61" s="140"/>
      <c r="K61" s="141"/>
      <c r="L61" s="142"/>
      <c r="M61" s="147"/>
      <c r="N61" s="140"/>
      <c r="O61" s="143"/>
      <c r="P61" s="63"/>
      <c r="Q61" s="64"/>
      <c r="R61" s="64"/>
      <c r="S61" s="53"/>
    </row>
    <row r="62" spans="1:20" ht="23.25" x14ac:dyDescent="0.35">
      <c r="A62" s="81" t="s">
        <v>171</v>
      </c>
      <c r="B62" s="55"/>
      <c r="C62" s="55"/>
      <c r="D62" s="119"/>
      <c r="E62" s="120"/>
      <c r="F62" s="42"/>
      <c r="G62" s="121"/>
      <c r="H62" s="121"/>
      <c r="I62" s="121"/>
      <c r="J62" s="121"/>
      <c r="K62" s="122"/>
      <c r="L62" s="42"/>
      <c r="M62" s="121"/>
      <c r="N62" s="95"/>
      <c r="O62" s="98"/>
      <c r="P62" s="75"/>
      <c r="Q62" s="73"/>
      <c r="R62" s="73"/>
      <c r="S62" s="76"/>
      <c r="T62" s="77"/>
    </row>
    <row r="63" spans="1:20" x14ac:dyDescent="0.25">
      <c r="A63" s="91"/>
      <c r="B63" s="9"/>
      <c r="C63" s="9"/>
      <c r="D63" s="92"/>
      <c r="E63" s="93"/>
      <c r="F63" s="123"/>
      <c r="G63" s="92"/>
      <c r="H63" s="95"/>
      <c r="I63" s="95"/>
      <c r="J63" s="124"/>
      <c r="K63" s="122"/>
      <c r="L63" s="123"/>
      <c r="M63" s="106"/>
      <c r="N63" s="95"/>
      <c r="O63" s="98"/>
      <c r="P63" s="75"/>
      <c r="Q63" s="74"/>
      <c r="R63" s="74"/>
      <c r="S63" s="76"/>
      <c r="T63" s="42"/>
    </row>
    <row r="64" spans="1:20" x14ac:dyDescent="0.25">
      <c r="A64" s="110" t="s">
        <v>7</v>
      </c>
      <c r="B64" s="9"/>
      <c r="C64" s="9"/>
      <c r="D64" s="92"/>
      <c r="E64" s="93"/>
      <c r="F64" s="123"/>
      <c r="G64" s="92"/>
      <c r="H64" s="95"/>
      <c r="I64" s="95"/>
      <c r="J64" s="124"/>
      <c r="K64" s="122"/>
      <c r="L64" s="123"/>
      <c r="M64" s="106"/>
      <c r="N64" s="95"/>
      <c r="O64" s="98"/>
      <c r="P64" s="75"/>
      <c r="Q64" s="74"/>
      <c r="R64" s="74"/>
      <c r="S64" s="76"/>
      <c r="T64" s="42"/>
    </row>
    <row r="65" spans="1:20" x14ac:dyDescent="0.25">
      <c r="A65" s="100">
        <v>12201</v>
      </c>
      <c r="B65" s="9" t="s">
        <v>5</v>
      </c>
      <c r="C65" s="9">
        <v>2</v>
      </c>
      <c r="D65" s="92">
        <f>2*97638</f>
        <v>195276</v>
      </c>
      <c r="E65" s="93"/>
      <c r="F65" s="123" t="s">
        <v>167</v>
      </c>
      <c r="G65" s="92"/>
      <c r="H65" s="95">
        <f>ROUND(D65*1%,0)</f>
        <v>1953</v>
      </c>
      <c r="I65" s="95">
        <f>ROUND(D65*10%,0)</f>
        <v>19528</v>
      </c>
      <c r="J65" s="124"/>
      <c r="K65" s="122">
        <f>D65+G65+H65+I65+J65</f>
        <v>216757</v>
      </c>
      <c r="L65" s="123"/>
      <c r="M65" s="106">
        <f>K65</f>
        <v>216757</v>
      </c>
      <c r="N65" s="95"/>
      <c r="O65" s="98"/>
      <c r="P65" s="75"/>
      <c r="Q65" s="74"/>
      <c r="R65" s="74"/>
      <c r="S65" s="76"/>
      <c r="T65" s="77" t="s">
        <v>166</v>
      </c>
    </row>
    <row r="66" spans="1:20" x14ac:dyDescent="0.25">
      <c r="A66" s="100">
        <v>14333</v>
      </c>
      <c r="B66" s="9" t="s">
        <v>3</v>
      </c>
      <c r="C66" s="9">
        <v>6</v>
      </c>
      <c r="D66" s="92">
        <f>6*44162</f>
        <v>264972</v>
      </c>
      <c r="E66" s="93"/>
      <c r="F66" s="123" t="s">
        <v>167</v>
      </c>
      <c r="G66" s="92"/>
      <c r="H66" s="95">
        <f t="shared" ref="H66" si="15">ROUND(D66*1%,0)</f>
        <v>2650</v>
      </c>
      <c r="I66" s="95">
        <f>ROUND(D66*10%,0)</f>
        <v>26497</v>
      </c>
      <c r="J66" s="124"/>
      <c r="K66" s="122">
        <f>D66+G66+H66+I66+J66</f>
        <v>294119</v>
      </c>
      <c r="L66" s="123"/>
      <c r="M66" s="106">
        <f>K66</f>
        <v>294119</v>
      </c>
      <c r="N66" s="95"/>
      <c r="O66" s="98"/>
      <c r="P66" s="75"/>
      <c r="Q66" s="74"/>
      <c r="R66" s="74"/>
      <c r="S66" s="76"/>
      <c r="T66" s="42"/>
    </row>
    <row r="67" spans="1:20" x14ac:dyDescent="0.25">
      <c r="A67" s="100"/>
      <c r="B67" s="9"/>
      <c r="C67" s="9"/>
      <c r="D67" s="92"/>
      <c r="E67" s="93"/>
      <c r="F67" s="123"/>
      <c r="G67" s="92"/>
      <c r="H67" s="95"/>
      <c r="I67" s="95"/>
      <c r="J67" s="124"/>
      <c r="K67" s="122"/>
      <c r="L67" s="123"/>
      <c r="M67" s="106"/>
      <c r="N67" s="95"/>
      <c r="O67" s="98"/>
      <c r="P67" s="75"/>
      <c r="Q67" s="74"/>
      <c r="R67" s="74"/>
      <c r="S67" s="76"/>
      <c r="T67" s="42"/>
    </row>
    <row r="68" spans="1:20" x14ac:dyDescent="0.25">
      <c r="A68" s="99" t="s">
        <v>168</v>
      </c>
      <c r="B68" s="9"/>
      <c r="C68" s="9"/>
      <c r="D68" s="92"/>
      <c r="E68" s="93"/>
      <c r="F68" s="123"/>
      <c r="G68" s="92"/>
      <c r="H68" s="95"/>
      <c r="I68" s="95"/>
      <c r="J68" s="124"/>
      <c r="K68" s="122"/>
      <c r="L68" s="123"/>
      <c r="M68" s="106"/>
      <c r="N68" s="95"/>
      <c r="O68" s="98"/>
      <c r="P68" s="75"/>
      <c r="Q68" s="74"/>
      <c r="R68" s="74"/>
      <c r="S68" s="76"/>
      <c r="T68" s="42"/>
    </row>
    <row r="69" spans="1:20" x14ac:dyDescent="0.25">
      <c r="A69" s="91">
        <v>14335</v>
      </c>
      <c r="B69" s="9" t="s">
        <v>3</v>
      </c>
      <c r="C69" s="9">
        <v>1</v>
      </c>
      <c r="D69" s="92">
        <v>44162</v>
      </c>
      <c r="E69" s="93"/>
      <c r="F69" s="123" t="s">
        <v>167</v>
      </c>
      <c r="G69" s="92"/>
      <c r="H69" s="95">
        <f t="shared" ref="H69" si="16">ROUND(D69*1%,0)</f>
        <v>442</v>
      </c>
      <c r="I69" s="95">
        <f t="shared" ref="I69" si="17">ROUND(D69*10%,0)</f>
        <v>4416</v>
      </c>
      <c r="J69" s="124"/>
      <c r="K69" s="122">
        <f t="shared" ref="K69" si="18">D69+G69+H69+I69+J69</f>
        <v>49020</v>
      </c>
      <c r="L69" s="123"/>
      <c r="M69" s="106">
        <f t="shared" ref="M69" si="19">K69</f>
        <v>49020</v>
      </c>
      <c r="N69" s="95"/>
      <c r="O69" s="98"/>
      <c r="P69" s="75"/>
      <c r="Q69" s="74"/>
      <c r="R69" s="74"/>
      <c r="S69" s="76"/>
      <c r="T69" s="77" t="s">
        <v>166</v>
      </c>
    </row>
    <row r="70" spans="1:20" x14ac:dyDescent="0.25">
      <c r="A70" s="91"/>
      <c r="B70" s="9"/>
      <c r="C70" s="9"/>
      <c r="D70" s="92"/>
      <c r="E70" s="93"/>
      <c r="F70" s="123"/>
      <c r="G70" s="92"/>
      <c r="H70" s="95"/>
      <c r="I70" s="95"/>
      <c r="J70" s="124"/>
      <c r="K70" s="122"/>
      <c r="L70" s="123"/>
      <c r="M70" s="106"/>
      <c r="N70" s="95"/>
      <c r="O70" s="98"/>
      <c r="P70" s="75"/>
      <c r="Q70" s="74"/>
      <c r="R70" s="74"/>
      <c r="S70" s="76"/>
      <c r="T70" s="42"/>
    </row>
    <row r="71" spans="1:20" x14ac:dyDescent="0.25">
      <c r="A71" s="99" t="s">
        <v>6</v>
      </c>
      <c r="B71" s="9"/>
      <c r="C71" s="9"/>
      <c r="D71" s="92"/>
      <c r="E71" s="93"/>
      <c r="F71" s="123"/>
      <c r="G71" s="92"/>
      <c r="H71" s="95"/>
      <c r="I71" s="95"/>
      <c r="J71" s="124"/>
      <c r="K71" s="122"/>
      <c r="L71" s="123"/>
      <c r="M71" s="106"/>
      <c r="N71" s="95"/>
      <c r="O71" s="98"/>
      <c r="P71" s="75"/>
      <c r="Q71" s="74"/>
      <c r="R71" s="74"/>
      <c r="S71" s="76"/>
      <c r="T71" s="42"/>
    </row>
    <row r="72" spans="1:20" x14ac:dyDescent="0.25">
      <c r="A72" s="91">
        <v>14630</v>
      </c>
      <c r="B72" s="9" t="s">
        <v>169</v>
      </c>
      <c r="C72" s="9">
        <v>1</v>
      </c>
      <c r="D72" s="92">
        <v>120507</v>
      </c>
      <c r="E72" s="93"/>
      <c r="F72" s="123" t="s">
        <v>170</v>
      </c>
      <c r="G72" s="92"/>
      <c r="H72" s="95">
        <f t="shared" ref="H72" si="20">ROUND(D72*1%,0)</f>
        <v>1205</v>
      </c>
      <c r="I72" s="95">
        <f>ROUND(D72*10%,0)</f>
        <v>12051</v>
      </c>
      <c r="J72" s="124"/>
      <c r="K72" s="122">
        <f t="shared" ref="K72" si="21">D72+G72+H72+I72+J72</f>
        <v>133763</v>
      </c>
      <c r="L72" s="123"/>
      <c r="M72" s="106"/>
      <c r="N72" s="95"/>
      <c r="O72" s="98">
        <f>K72</f>
        <v>133763</v>
      </c>
      <c r="P72" s="75"/>
      <c r="Q72" s="74"/>
      <c r="R72" s="74"/>
      <c r="S72" s="76"/>
      <c r="T72" s="42"/>
    </row>
    <row r="73" spans="1:20" x14ac:dyDescent="0.25">
      <c r="A73" s="91"/>
      <c r="B73" s="9"/>
      <c r="C73" s="9"/>
      <c r="D73" s="92"/>
      <c r="E73" s="93"/>
      <c r="F73" s="123"/>
      <c r="G73" s="92"/>
      <c r="H73" s="95"/>
      <c r="I73" s="95"/>
      <c r="J73" s="124"/>
      <c r="K73" s="122"/>
      <c r="L73" s="123"/>
      <c r="M73" s="106"/>
      <c r="N73" s="95"/>
      <c r="O73" s="98"/>
      <c r="P73" s="75"/>
      <c r="Q73" s="74"/>
      <c r="R73" s="74"/>
      <c r="S73" s="76"/>
      <c r="T73" s="42"/>
    </row>
    <row r="74" spans="1:20" s="174" customFormat="1" ht="21" x14ac:dyDescent="0.35">
      <c r="A74" s="148"/>
      <c r="B74" s="150" t="s">
        <v>34</v>
      </c>
      <c r="C74" s="253">
        <v>10</v>
      </c>
      <c r="D74" s="169">
        <f>SUM(D65:D72)</f>
        <v>624917</v>
      </c>
      <c r="E74" s="170"/>
      <c r="F74" s="169"/>
      <c r="G74" s="169"/>
      <c r="H74" s="169"/>
      <c r="I74" s="169"/>
      <c r="J74" s="169"/>
      <c r="K74" s="156">
        <f>SUM(K65:K72)</f>
        <v>693659</v>
      </c>
      <c r="L74" s="150"/>
      <c r="M74" s="169">
        <f>SUM(M65:M73)</f>
        <v>559896</v>
      </c>
      <c r="N74" s="154">
        <f t="shared" ref="N74:O74" si="22">SUM(N65:N73)</f>
        <v>0</v>
      </c>
      <c r="O74" s="158">
        <f t="shared" si="22"/>
        <v>133763</v>
      </c>
      <c r="P74" s="171"/>
      <c r="Q74" s="172"/>
      <c r="R74" s="172"/>
      <c r="S74" s="173"/>
      <c r="T74" s="150"/>
    </row>
    <row r="75" spans="1:20" x14ac:dyDescent="0.25">
      <c r="A75" s="99"/>
      <c r="B75" s="55"/>
      <c r="C75" s="55"/>
      <c r="D75" s="119"/>
      <c r="E75" s="125"/>
      <c r="F75" s="119"/>
      <c r="G75" s="119"/>
      <c r="H75" s="119"/>
      <c r="I75" s="119"/>
      <c r="J75" s="119"/>
      <c r="K75" s="118"/>
      <c r="L75" s="55"/>
      <c r="M75" s="119"/>
      <c r="N75" s="107"/>
      <c r="O75" s="108"/>
      <c r="P75" s="79"/>
      <c r="Q75" s="72"/>
      <c r="R75" s="72"/>
      <c r="S75" s="80"/>
      <c r="T75" s="78"/>
    </row>
    <row r="76" spans="1:20" ht="16.5" thickBot="1" x14ac:dyDescent="0.3">
      <c r="A76" s="99"/>
      <c r="B76" s="55"/>
      <c r="C76" s="55"/>
      <c r="D76" s="119"/>
      <c r="E76" s="125"/>
      <c r="F76" s="119"/>
      <c r="G76" s="119"/>
      <c r="H76" s="119"/>
      <c r="I76" s="119"/>
      <c r="J76" s="119"/>
      <c r="K76" s="118"/>
      <c r="L76" s="55"/>
      <c r="M76" s="119"/>
      <c r="N76" s="107"/>
      <c r="O76" s="108"/>
      <c r="P76" s="79"/>
      <c r="Q76" s="72"/>
      <c r="R76" s="72"/>
      <c r="S76" s="80"/>
      <c r="T76" s="78"/>
    </row>
    <row r="77" spans="1:20" ht="24" thickBot="1" x14ac:dyDescent="0.4">
      <c r="A77" s="126"/>
      <c r="B77" s="127" t="s">
        <v>163</v>
      </c>
      <c r="C77" s="254">
        <f>C46+C60+C29+C74</f>
        <v>67.5</v>
      </c>
      <c r="D77" s="128">
        <f>D46+D60+D29+D74</f>
        <v>3888417</v>
      </c>
      <c r="E77" s="129"/>
      <c r="F77" s="130"/>
      <c r="G77" s="128">
        <f>G46+G60+G29</f>
        <v>970469</v>
      </c>
      <c r="H77" s="128">
        <f>H46+H60+H29</f>
        <v>525470</v>
      </c>
      <c r="I77" s="128">
        <f>I46+I60+I29</f>
        <v>61029</v>
      </c>
      <c r="J77" s="128">
        <f>J46+J60+J29</f>
        <v>105256</v>
      </c>
      <c r="K77" s="128">
        <f>K46+K60+K29+K74</f>
        <v>6805041</v>
      </c>
      <c r="L77" s="131"/>
      <c r="M77" s="132">
        <f>M46+M60+M29+M74</f>
        <v>2579901</v>
      </c>
      <c r="N77" s="133">
        <f>N46+N60+N29+N74</f>
        <v>4698434</v>
      </c>
      <c r="O77" s="134">
        <f>O46+O60+O29+O74</f>
        <v>133763</v>
      </c>
      <c r="P77" s="68">
        <f>P46+P60+P29</f>
        <v>840</v>
      </c>
      <c r="Q77" s="54">
        <f>Q46+Q60+Q29</f>
        <v>1306</v>
      </c>
      <c r="R77" s="54">
        <f>R46+R60+R29</f>
        <v>254</v>
      </c>
      <c r="S77" s="69">
        <f>S46+S60+S29</f>
        <v>554</v>
      </c>
      <c r="T77" s="1"/>
    </row>
    <row r="80" spans="1:20" x14ac:dyDescent="0.25">
      <c r="C80" s="255"/>
      <c r="F80" s="70"/>
    </row>
  </sheetData>
  <mergeCells count="38">
    <mergeCell ref="L1:L2"/>
    <mergeCell ref="M1:O1"/>
    <mergeCell ref="P1:S1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R12:R15"/>
    <mergeCell ref="S12:S15"/>
    <mergeCell ref="M12:M15"/>
    <mergeCell ref="N12:N15"/>
    <mergeCell ref="O12:O15"/>
    <mergeCell ref="P12:P15"/>
    <mergeCell ref="Q12:Q15"/>
    <mergeCell ref="N16:N19"/>
    <mergeCell ref="S16:S19"/>
    <mergeCell ref="K16:K19"/>
    <mergeCell ref="L16:L19"/>
    <mergeCell ref="M16:M19"/>
    <mergeCell ref="G1:K1"/>
    <mergeCell ref="G16:G19"/>
    <mergeCell ref="H16:H19"/>
    <mergeCell ref="I16:I19"/>
    <mergeCell ref="J16:J19"/>
    <mergeCell ref="G12:G15"/>
    <mergeCell ref="H12:H15"/>
    <mergeCell ref="I12:I15"/>
    <mergeCell ref="J12:J15"/>
    <mergeCell ref="K12:K15"/>
  </mergeCells>
  <printOptions horizontalCentered="1"/>
  <pageMargins left="0.31496062992125984" right="0.31496062992125984" top="0.35433070866141736" bottom="0.35433070866141736" header="0.31496062992125984" footer="0.31496062992125984"/>
  <pageSetup scale="79" orientation="landscape" r:id="rId1"/>
  <rowBreaks count="2" manualBreakCount="2">
    <brk id="30" max="18" man="1"/>
    <brk id="61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2" sqref="A2"/>
    </sheetView>
  </sheetViews>
  <sheetFormatPr defaultRowHeight="15" x14ac:dyDescent="0.25"/>
  <cols>
    <col min="6" max="7" width="9.140625" style="6"/>
    <col min="8" max="8" width="47.42578125" style="6" bestFit="1" customWidth="1"/>
    <col min="9" max="9" width="9.140625" style="6"/>
  </cols>
  <sheetData>
    <row r="1" spans="1:8" x14ac:dyDescent="0.25">
      <c r="A1" s="5" t="s">
        <v>48</v>
      </c>
    </row>
    <row r="3" spans="1:8" x14ac:dyDescent="0.25">
      <c r="B3" t="s">
        <v>49</v>
      </c>
      <c r="F3" s="6">
        <f>[2]Taul1!D32+[2]Taul1!D33+[2]Taul1!D34</f>
        <v>331509</v>
      </c>
    </row>
    <row r="4" spans="1:8" x14ac:dyDescent="0.25">
      <c r="B4" t="s">
        <v>50</v>
      </c>
    </row>
    <row r="5" spans="1:8" x14ac:dyDescent="0.25">
      <c r="B5" s="7" t="s">
        <v>51</v>
      </c>
      <c r="F5" s="6">
        <v>234000</v>
      </c>
      <c r="H5" s="6" t="s">
        <v>52</v>
      </c>
    </row>
    <row r="9" spans="1:8" x14ac:dyDescent="0.25">
      <c r="B9" t="s">
        <v>53</v>
      </c>
    </row>
    <row r="10" spans="1:8" x14ac:dyDescent="0.25">
      <c r="B10" s="7" t="s">
        <v>54</v>
      </c>
      <c r="F10" s="6">
        <v>100000</v>
      </c>
      <c r="H10" s="6" t="s">
        <v>55</v>
      </c>
    </row>
    <row r="20" spans="1:8" x14ac:dyDescent="0.25">
      <c r="A20" t="s">
        <v>56</v>
      </c>
    </row>
    <row r="22" spans="1:8" ht="15.75" x14ac:dyDescent="0.25">
      <c r="B22" t="s">
        <v>40</v>
      </c>
      <c r="H22" s="8" t="s">
        <v>57</v>
      </c>
    </row>
    <row r="23" spans="1:8" x14ac:dyDescent="0.25">
      <c r="B23" s="7" t="s">
        <v>58</v>
      </c>
    </row>
    <row r="24" spans="1:8" x14ac:dyDescent="0.25">
      <c r="B24">
        <v>20</v>
      </c>
      <c r="C24" t="s">
        <v>59</v>
      </c>
      <c r="D24" s="6">
        <v>4800</v>
      </c>
      <c r="E24" s="6">
        <f>B24*D24</f>
        <v>96000</v>
      </c>
    </row>
    <row r="25" spans="1:8" x14ac:dyDescent="0.25">
      <c r="B25">
        <v>30</v>
      </c>
      <c r="C25" t="s">
        <v>60</v>
      </c>
      <c r="D25" s="6">
        <v>9780</v>
      </c>
      <c r="E25" s="6">
        <f t="shared" ref="E25:E26" si="0">B25*D25</f>
        <v>293400</v>
      </c>
    </row>
    <row r="26" spans="1:8" x14ac:dyDescent="0.25">
      <c r="B26">
        <v>30</v>
      </c>
      <c r="C26" t="s">
        <v>61</v>
      </c>
      <c r="D26" s="6">
        <v>9700</v>
      </c>
      <c r="E26" s="6">
        <f t="shared" si="0"/>
        <v>291000</v>
      </c>
      <c r="F26" s="6">
        <f>SUM(E24:E26)</f>
        <v>680400</v>
      </c>
    </row>
    <row r="30" spans="1:8" x14ac:dyDescent="0.25">
      <c r="A30" t="s">
        <v>62</v>
      </c>
    </row>
    <row r="32" spans="1:8" x14ac:dyDescent="0.25">
      <c r="B32" t="s">
        <v>43</v>
      </c>
    </row>
    <row r="33" spans="2:10" ht="15.75" x14ac:dyDescent="0.25">
      <c r="B33" s="7" t="s">
        <v>63</v>
      </c>
      <c r="H33" s="9" t="s">
        <v>64</v>
      </c>
      <c r="I33" s="10">
        <v>0.3</v>
      </c>
      <c r="J33" s="10">
        <v>0.7</v>
      </c>
    </row>
    <row r="34" spans="2:10" x14ac:dyDescent="0.25">
      <c r="B34" t="s">
        <v>65</v>
      </c>
      <c r="C34" s="11">
        <v>0.3</v>
      </c>
      <c r="E34" s="6">
        <f>450000*C34</f>
        <v>135000</v>
      </c>
      <c r="H34" s="12"/>
      <c r="I34" s="12"/>
      <c r="J34" s="13"/>
    </row>
    <row r="35" spans="2:10" x14ac:dyDescent="0.25">
      <c r="B35" t="s">
        <v>66</v>
      </c>
      <c r="C35" s="11">
        <v>0.7</v>
      </c>
      <c r="E35" s="6">
        <f>450000*C35</f>
        <v>315000</v>
      </c>
      <c r="F35" s="6">
        <f>E34+E35</f>
        <v>450000</v>
      </c>
      <c r="H35" s="12"/>
      <c r="I35" s="12"/>
      <c r="J35" s="13"/>
    </row>
    <row r="36" spans="2:10" ht="15.75" x14ac:dyDescent="0.25">
      <c r="B36" s="7" t="s">
        <v>63</v>
      </c>
      <c r="E36" s="6"/>
      <c r="H36" s="14" t="s">
        <v>67</v>
      </c>
      <c r="I36" s="10">
        <v>0.2</v>
      </c>
      <c r="J36" s="10">
        <v>0.8</v>
      </c>
    </row>
    <row r="37" spans="2:10" x14ac:dyDescent="0.25">
      <c r="B37" t="s">
        <v>65</v>
      </c>
      <c r="C37" s="11">
        <v>0.2</v>
      </c>
      <c r="E37" s="6">
        <f>320000*C37</f>
        <v>64000</v>
      </c>
    </row>
    <row r="38" spans="2:10" x14ac:dyDescent="0.25">
      <c r="B38" t="s">
        <v>66</v>
      </c>
      <c r="C38" s="11">
        <v>0.8</v>
      </c>
      <c r="E38" s="6">
        <f>320000*C38</f>
        <v>256000</v>
      </c>
      <c r="F38" s="6">
        <f>E37+E38</f>
        <v>320000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topLeftCell="A16" workbookViewId="0">
      <selection activeCell="J80" sqref="J80"/>
    </sheetView>
  </sheetViews>
  <sheetFormatPr defaultRowHeight="15" x14ac:dyDescent="0.25"/>
  <sheetData>
    <row r="1" spans="1:23" ht="23.25" x14ac:dyDescent="0.25">
      <c r="A1" s="17" t="s">
        <v>78</v>
      </c>
      <c r="M1" s="17" t="s">
        <v>78</v>
      </c>
    </row>
    <row r="2" spans="1:23" x14ac:dyDescent="0.25">
      <c r="A2" s="16"/>
      <c r="M2" s="16"/>
    </row>
    <row r="3" spans="1:23" x14ac:dyDescent="0.25">
      <c r="A3" s="18" t="s">
        <v>79</v>
      </c>
      <c r="M3" s="18" t="s">
        <v>79</v>
      </c>
    </row>
    <row r="4" spans="1:23" x14ac:dyDescent="0.25">
      <c r="A4" s="18" t="s">
        <v>80</v>
      </c>
      <c r="M4" s="18" t="s">
        <v>80</v>
      </c>
    </row>
    <row r="5" spans="1:23" x14ac:dyDescent="0.25">
      <c r="A5" s="18" t="s">
        <v>81</v>
      </c>
      <c r="M5" s="18" t="s">
        <v>129</v>
      </c>
    </row>
    <row r="6" spans="1:23" x14ac:dyDescent="0.25">
      <c r="A6" s="18" t="s">
        <v>82</v>
      </c>
      <c r="M6" s="18" t="s">
        <v>130</v>
      </c>
    </row>
    <row r="7" spans="1:23" ht="26.25" x14ac:dyDescent="0.25">
      <c r="A7" s="238" t="s">
        <v>83</v>
      </c>
      <c r="B7" s="239"/>
      <c r="C7" s="239"/>
      <c r="D7" s="28" t="s">
        <v>84</v>
      </c>
      <c r="E7" s="28" t="s">
        <v>86</v>
      </c>
      <c r="F7" s="28" t="s">
        <v>89</v>
      </c>
      <c r="G7" s="28" t="s">
        <v>84</v>
      </c>
      <c r="H7" s="27"/>
      <c r="I7" s="27"/>
      <c r="J7" s="27"/>
      <c r="K7" s="29"/>
      <c r="M7" s="238" t="s">
        <v>83</v>
      </c>
      <c r="N7" s="239"/>
      <c r="O7" s="239"/>
      <c r="P7" s="28" t="s">
        <v>84</v>
      </c>
      <c r="Q7" s="28" t="s">
        <v>86</v>
      </c>
      <c r="R7" s="28" t="s">
        <v>89</v>
      </c>
      <c r="S7" s="28" t="s">
        <v>84</v>
      </c>
      <c r="T7" s="27"/>
      <c r="U7" s="27"/>
      <c r="V7" s="27"/>
      <c r="W7" s="29"/>
    </row>
    <row r="8" spans="1:23" x14ac:dyDescent="0.25">
      <c r="A8" s="240"/>
      <c r="B8" s="241"/>
      <c r="C8" s="241"/>
      <c r="D8" s="19" t="s">
        <v>85</v>
      </c>
      <c r="E8" s="19" t="s">
        <v>87</v>
      </c>
      <c r="F8" s="19" t="s">
        <v>90</v>
      </c>
      <c r="G8" s="19" t="s">
        <v>92</v>
      </c>
      <c r="K8" s="30"/>
      <c r="M8" s="240"/>
      <c r="N8" s="241"/>
      <c r="O8" s="241"/>
      <c r="P8" s="19" t="s">
        <v>85</v>
      </c>
      <c r="Q8" s="19" t="s">
        <v>87</v>
      </c>
      <c r="R8" s="19" t="s">
        <v>90</v>
      </c>
      <c r="S8" s="19" t="s">
        <v>92</v>
      </c>
      <c r="W8" s="30"/>
    </row>
    <row r="9" spans="1:23" x14ac:dyDescent="0.25">
      <c r="A9" s="242"/>
      <c r="B9" s="243"/>
      <c r="C9" s="243"/>
      <c r="D9" s="20"/>
      <c r="E9" s="20" t="s">
        <v>88</v>
      </c>
      <c r="F9" s="20" t="s">
        <v>91</v>
      </c>
      <c r="G9" s="20" t="s">
        <v>93</v>
      </c>
      <c r="K9" s="30"/>
      <c r="M9" s="242"/>
      <c r="N9" s="243"/>
      <c r="O9" s="243"/>
      <c r="P9" s="20"/>
      <c r="Q9" s="20" t="s">
        <v>88</v>
      </c>
      <c r="R9" s="20" t="s">
        <v>91</v>
      </c>
      <c r="S9" s="20" t="s">
        <v>93</v>
      </c>
      <c r="W9" s="30"/>
    </row>
    <row r="10" spans="1:23" x14ac:dyDescent="0.25">
      <c r="A10" s="244" t="s">
        <v>94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6"/>
      <c r="M10" s="244" t="s">
        <v>94</v>
      </c>
      <c r="N10" s="245"/>
      <c r="O10" s="245"/>
      <c r="P10" s="245"/>
      <c r="Q10" s="245"/>
      <c r="R10" s="245"/>
      <c r="S10" s="245"/>
      <c r="T10" s="245"/>
      <c r="U10" s="245"/>
      <c r="V10" s="245"/>
      <c r="W10" s="246"/>
    </row>
    <row r="11" spans="1:23" x14ac:dyDescent="0.25">
      <c r="A11" s="31" t="s">
        <v>95</v>
      </c>
      <c r="B11" s="237" t="s">
        <v>96</v>
      </c>
      <c r="C11" s="237"/>
      <c r="D11" s="21">
        <v>179</v>
      </c>
      <c r="E11" s="21">
        <v>504</v>
      </c>
      <c r="F11" s="22">
        <v>1962</v>
      </c>
      <c r="G11" s="22">
        <v>90239</v>
      </c>
      <c r="I11">
        <f>D11/46</f>
        <v>3.8913043478260869</v>
      </c>
      <c r="J11">
        <f>4*4</f>
        <v>16</v>
      </c>
      <c r="K11" s="30"/>
      <c r="M11" s="31" t="s">
        <v>95</v>
      </c>
      <c r="N11" s="237" t="s">
        <v>96</v>
      </c>
      <c r="O11" s="237"/>
      <c r="P11" s="21">
        <v>262</v>
      </c>
      <c r="Q11" s="21">
        <v>534</v>
      </c>
      <c r="R11" s="22">
        <v>1839</v>
      </c>
      <c r="S11" s="22">
        <v>139786</v>
      </c>
      <c r="U11">
        <f>P11/76</f>
        <v>3.4473684210526314</v>
      </c>
      <c r="V11">
        <f>3*6</f>
        <v>18</v>
      </c>
      <c r="W11" s="30"/>
    </row>
    <row r="12" spans="1:23" x14ac:dyDescent="0.25">
      <c r="A12" s="32" t="s">
        <v>97</v>
      </c>
      <c r="B12" s="247" t="s">
        <v>98</v>
      </c>
      <c r="C12" s="247"/>
      <c r="D12" s="23">
        <v>2</v>
      </c>
      <c r="E12" s="23">
        <v>743</v>
      </c>
      <c r="F12" s="23">
        <v>32</v>
      </c>
      <c r="G12" s="24">
        <v>1487</v>
      </c>
      <c r="K12" s="30"/>
      <c r="M12" s="32" t="s">
        <v>117</v>
      </c>
      <c r="N12" s="247" t="s">
        <v>118</v>
      </c>
      <c r="O12" s="247"/>
      <c r="P12" s="23">
        <v>1</v>
      </c>
      <c r="Q12" s="23">
        <v>42</v>
      </c>
      <c r="R12" s="23">
        <v>1</v>
      </c>
      <c r="S12" s="23">
        <v>42</v>
      </c>
      <c r="W12" s="30"/>
    </row>
    <row r="13" spans="1:23" x14ac:dyDescent="0.25">
      <c r="A13" s="31" t="s">
        <v>99</v>
      </c>
      <c r="B13" s="237" t="s">
        <v>100</v>
      </c>
      <c r="C13" s="237"/>
      <c r="D13" s="21">
        <v>39</v>
      </c>
      <c r="E13" s="21">
        <v>69</v>
      </c>
      <c r="F13" s="21">
        <v>58</v>
      </c>
      <c r="G13" s="22">
        <v>2683</v>
      </c>
      <c r="K13" s="30"/>
      <c r="M13" s="31" t="s">
        <v>97</v>
      </c>
      <c r="N13" s="237" t="s">
        <v>98</v>
      </c>
      <c r="O13" s="237"/>
      <c r="P13" s="21">
        <v>4</v>
      </c>
      <c r="Q13" s="21">
        <v>803</v>
      </c>
      <c r="R13" s="21">
        <v>42</v>
      </c>
      <c r="S13" s="22">
        <v>3212</v>
      </c>
      <c r="W13" s="30"/>
    </row>
    <row r="14" spans="1:23" x14ac:dyDescent="0.25">
      <c r="A14" s="32" t="s">
        <v>101</v>
      </c>
      <c r="B14" s="247" t="s">
        <v>102</v>
      </c>
      <c r="C14" s="247"/>
      <c r="D14" s="23">
        <v>111</v>
      </c>
      <c r="E14" s="24">
        <v>1098</v>
      </c>
      <c r="F14" s="24">
        <v>2649</v>
      </c>
      <c r="G14" s="24">
        <v>121848</v>
      </c>
      <c r="K14" s="30"/>
      <c r="M14" s="32" t="s">
        <v>99</v>
      </c>
      <c r="N14" s="247" t="s">
        <v>100</v>
      </c>
      <c r="O14" s="247"/>
      <c r="P14" s="23">
        <v>16</v>
      </c>
      <c r="Q14" s="23">
        <v>349</v>
      </c>
      <c r="R14" s="23">
        <v>74</v>
      </c>
      <c r="S14" s="24">
        <v>5589</v>
      </c>
      <c r="W14" s="30"/>
    </row>
    <row r="15" spans="1:23" x14ac:dyDescent="0.25">
      <c r="A15" s="31" t="s">
        <v>103</v>
      </c>
      <c r="B15" s="237" t="s">
        <v>104</v>
      </c>
      <c r="C15" s="237"/>
      <c r="D15" s="21">
        <v>71</v>
      </c>
      <c r="E15" s="22">
        <v>1647</v>
      </c>
      <c r="F15" s="22">
        <v>2542</v>
      </c>
      <c r="G15" s="22">
        <v>116937</v>
      </c>
      <c r="K15" s="30"/>
      <c r="M15" s="31" t="s">
        <v>131</v>
      </c>
      <c r="N15" s="237" t="s">
        <v>132</v>
      </c>
      <c r="O15" s="237"/>
      <c r="P15" s="21">
        <v>2</v>
      </c>
      <c r="Q15" s="21">
        <v>166</v>
      </c>
      <c r="R15" s="21">
        <v>4</v>
      </c>
      <c r="S15" s="21">
        <v>332</v>
      </c>
      <c r="W15" s="30"/>
    </row>
    <row r="16" spans="1:23" x14ac:dyDescent="0.25">
      <c r="A16" s="32" t="s">
        <v>105</v>
      </c>
      <c r="B16" s="247" t="s">
        <v>106</v>
      </c>
      <c r="C16" s="247"/>
      <c r="D16" s="23">
        <v>63</v>
      </c>
      <c r="E16" s="23">
        <v>557</v>
      </c>
      <c r="F16" s="23">
        <v>763</v>
      </c>
      <c r="G16" s="24">
        <v>35082</v>
      </c>
      <c r="K16" s="30"/>
      <c r="M16" s="32" t="s">
        <v>133</v>
      </c>
      <c r="N16" s="247" t="s">
        <v>134</v>
      </c>
      <c r="O16" s="247"/>
      <c r="P16" s="23">
        <v>4</v>
      </c>
      <c r="Q16" s="23">
        <v>178</v>
      </c>
      <c r="R16" s="23">
        <v>9</v>
      </c>
      <c r="S16" s="23">
        <v>710</v>
      </c>
      <c r="W16" s="30"/>
    </row>
    <row r="17" spans="1:23" x14ac:dyDescent="0.25">
      <c r="A17" s="31" t="s">
        <v>107</v>
      </c>
      <c r="B17" s="237" t="s">
        <v>108</v>
      </c>
      <c r="C17" s="237"/>
      <c r="D17" s="21">
        <v>5</v>
      </c>
      <c r="E17" s="21">
        <v>50</v>
      </c>
      <c r="F17" s="21">
        <v>5</v>
      </c>
      <c r="G17" s="21">
        <v>248</v>
      </c>
      <c r="K17" s="30"/>
      <c r="M17" s="31" t="s">
        <v>101</v>
      </c>
      <c r="N17" s="237" t="s">
        <v>102</v>
      </c>
      <c r="O17" s="237"/>
      <c r="P17" s="21">
        <v>16</v>
      </c>
      <c r="Q17" s="21">
        <v>894</v>
      </c>
      <c r="R17" s="21">
        <v>188</v>
      </c>
      <c r="S17" s="22">
        <v>14308</v>
      </c>
      <c r="W17" s="30"/>
    </row>
    <row r="18" spans="1:23" x14ac:dyDescent="0.25">
      <c r="A18" s="248" t="s">
        <v>109</v>
      </c>
      <c r="B18" s="249"/>
      <c r="C18" s="249"/>
      <c r="D18" s="249"/>
      <c r="E18" s="249"/>
      <c r="F18" s="25">
        <v>8011</v>
      </c>
      <c r="G18" s="25">
        <v>368523</v>
      </c>
      <c r="K18" s="30"/>
      <c r="M18" s="32" t="s">
        <v>135</v>
      </c>
      <c r="N18" s="247" t="s">
        <v>38</v>
      </c>
      <c r="O18" s="247"/>
      <c r="P18" s="23">
        <v>-1</v>
      </c>
      <c r="Q18" s="24">
        <v>4344</v>
      </c>
      <c r="R18" s="23">
        <v>-57</v>
      </c>
      <c r="S18" s="24">
        <v>-4344</v>
      </c>
      <c r="W18" s="30"/>
    </row>
    <row r="19" spans="1:23" x14ac:dyDescent="0.25">
      <c r="A19" s="244" t="s">
        <v>110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6"/>
      <c r="M19" s="31" t="s">
        <v>103</v>
      </c>
      <c r="N19" s="237" t="s">
        <v>104</v>
      </c>
      <c r="O19" s="237"/>
      <c r="P19" s="21">
        <v>8</v>
      </c>
      <c r="Q19" s="21">
        <v>662</v>
      </c>
      <c r="R19" s="21">
        <v>70</v>
      </c>
      <c r="S19" s="22">
        <v>5298</v>
      </c>
      <c r="W19" s="30"/>
    </row>
    <row r="20" spans="1:23" x14ac:dyDescent="0.25">
      <c r="A20" s="31" t="s">
        <v>111</v>
      </c>
      <c r="B20" s="237" t="s">
        <v>112</v>
      </c>
      <c r="C20" s="237"/>
      <c r="D20" s="21">
        <v>37</v>
      </c>
      <c r="E20" s="21">
        <v>12</v>
      </c>
      <c r="F20" s="21">
        <v>9</v>
      </c>
      <c r="G20" s="21">
        <v>428</v>
      </c>
      <c r="K20" s="30"/>
      <c r="M20" s="32" t="s">
        <v>105</v>
      </c>
      <c r="N20" s="247" t="s">
        <v>106</v>
      </c>
      <c r="O20" s="247"/>
      <c r="P20" s="23">
        <v>8</v>
      </c>
      <c r="Q20" s="23">
        <v>598</v>
      </c>
      <c r="R20" s="23">
        <v>63</v>
      </c>
      <c r="S20" s="24">
        <v>4784</v>
      </c>
      <c r="W20" s="30"/>
    </row>
    <row r="21" spans="1:23" x14ac:dyDescent="0.25">
      <c r="A21" s="32" t="s">
        <v>113</v>
      </c>
      <c r="B21" s="247" t="s">
        <v>114</v>
      </c>
      <c r="C21" s="247"/>
      <c r="D21" s="23">
        <v>7</v>
      </c>
      <c r="E21" s="23">
        <v>18</v>
      </c>
      <c r="F21" s="23">
        <v>3</v>
      </c>
      <c r="G21" s="23">
        <v>128</v>
      </c>
      <c r="K21" s="30"/>
      <c r="M21" s="248" t="s">
        <v>109</v>
      </c>
      <c r="N21" s="249"/>
      <c r="O21" s="249"/>
      <c r="P21" s="249"/>
      <c r="Q21" s="249"/>
      <c r="R21" s="25">
        <v>2233</v>
      </c>
      <c r="S21" s="25">
        <v>169717</v>
      </c>
      <c r="W21" s="30"/>
    </row>
    <row r="22" spans="1:23" x14ac:dyDescent="0.25">
      <c r="A22" s="31" t="s">
        <v>115</v>
      </c>
      <c r="B22" s="237" t="s">
        <v>116</v>
      </c>
      <c r="C22" s="237"/>
      <c r="D22" s="21">
        <v>1</v>
      </c>
      <c r="E22" s="21">
        <v>65</v>
      </c>
      <c r="F22" s="21">
        <v>1</v>
      </c>
      <c r="G22" s="21">
        <v>33</v>
      </c>
      <c r="K22" s="30"/>
      <c r="M22" s="244" t="s">
        <v>110</v>
      </c>
      <c r="N22" s="245"/>
      <c r="O22" s="245"/>
      <c r="P22" s="245"/>
      <c r="Q22" s="245"/>
      <c r="R22" s="245"/>
      <c r="S22" s="245"/>
      <c r="T22" s="245"/>
      <c r="U22" s="245"/>
      <c r="V22" s="245"/>
      <c r="W22" s="246"/>
    </row>
    <row r="23" spans="1:23" x14ac:dyDescent="0.25">
      <c r="A23" s="32" t="s">
        <v>117</v>
      </c>
      <c r="B23" s="247" t="s">
        <v>118</v>
      </c>
      <c r="C23" s="247"/>
      <c r="D23" s="23">
        <v>1</v>
      </c>
      <c r="E23" s="23">
        <v>154</v>
      </c>
      <c r="F23" s="23">
        <v>3</v>
      </c>
      <c r="G23" s="23">
        <v>154</v>
      </c>
      <c r="K23" s="30"/>
      <c r="M23" s="31" t="s">
        <v>111</v>
      </c>
      <c r="N23" s="237" t="s">
        <v>112</v>
      </c>
      <c r="O23" s="237"/>
      <c r="P23" s="21">
        <v>122</v>
      </c>
      <c r="Q23" s="21">
        <v>26</v>
      </c>
      <c r="R23" s="21">
        <v>41</v>
      </c>
      <c r="S23" s="22">
        <v>3145</v>
      </c>
      <c r="W23" s="30"/>
    </row>
    <row r="24" spans="1:23" ht="25.5" customHeight="1" x14ac:dyDescent="0.25">
      <c r="A24" s="31" t="s">
        <v>119</v>
      </c>
      <c r="B24" s="237" t="s">
        <v>120</v>
      </c>
      <c r="C24" s="237"/>
      <c r="D24" s="21">
        <v>596</v>
      </c>
      <c r="E24" s="21">
        <v>5</v>
      </c>
      <c r="F24" s="21">
        <v>62</v>
      </c>
      <c r="G24" s="22">
        <v>2833</v>
      </c>
      <c r="K24" s="30"/>
      <c r="M24" s="32" t="s">
        <v>136</v>
      </c>
      <c r="N24" s="247" t="s">
        <v>137</v>
      </c>
      <c r="O24" s="247"/>
      <c r="P24" s="23">
        <v>24</v>
      </c>
      <c r="Q24" s="23">
        <v>325</v>
      </c>
      <c r="R24" s="23">
        <v>103</v>
      </c>
      <c r="S24" s="24">
        <v>7796</v>
      </c>
      <c r="W24" s="30"/>
    </row>
    <row r="25" spans="1:23" x14ac:dyDescent="0.25">
      <c r="A25" s="32" t="s">
        <v>121</v>
      </c>
      <c r="B25" s="247" t="s">
        <v>122</v>
      </c>
      <c r="C25" s="247"/>
      <c r="D25" s="23">
        <v>5</v>
      </c>
      <c r="E25" s="23">
        <v>116</v>
      </c>
      <c r="F25" s="23">
        <v>13</v>
      </c>
      <c r="G25" s="23">
        <v>579</v>
      </c>
      <c r="K25" s="30"/>
      <c r="M25" s="31" t="s">
        <v>113</v>
      </c>
      <c r="N25" s="237" t="s">
        <v>114</v>
      </c>
      <c r="O25" s="237"/>
      <c r="P25" s="21">
        <v>16</v>
      </c>
      <c r="Q25" s="21">
        <v>185</v>
      </c>
      <c r="R25" s="21">
        <v>39</v>
      </c>
      <c r="S25" s="22">
        <v>2960</v>
      </c>
      <c r="W25" s="30"/>
    </row>
    <row r="26" spans="1:23" x14ac:dyDescent="0.25">
      <c r="A26" s="31" t="s">
        <v>123</v>
      </c>
      <c r="B26" s="237" t="s">
        <v>124</v>
      </c>
      <c r="C26" s="237"/>
      <c r="D26" s="21">
        <v>87</v>
      </c>
      <c r="E26" s="21">
        <v>314</v>
      </c>
      <c r="F26" s="21">
        <v>595</v>
      </c>
      <c r="G26" s="22">
        <v>27354</v>
      </c>
      <c r="K26" s="30"/>
      <c r="M26" s="32" t="s">
        <v>115</v>
      </c>
      <c r="N26" s="247" t="s">
        <v>116</v>
      </c>
      <c r="O26" s="247"/>
      <c r="P26" s="23">
        <v>3</v>
      </c>
      <c r="Q26" s="23">
        <v>75</v>
      </c>
      <c r="R26" s="23">
        <v>3</v>
      </c>
      <c r="S26" s="23">
        <v>225</v>
      </c>
      <c r="W26" s="30"/>
    </row>
    <row r="27" spans="1:23" x14ac:dyDescent="0.25">
      <c r="A27" s="32" t="s">
        <v>125</v>
      </c>
      <c r="B27" s="247" t="s">
        <v>126</v>
      </c>
      <c r="C27" s="247"/>
      <c r="D27" s="23">
        <v>62</v>
      </c>
      <c r="E27" s="23">
        <v>166</v>
      </c>
      <c r="F27" s="23">
        <v>223</v>
      </c>
      <c r="G27" s="24">
        <v>10273</v>
      </c>
      <c r="K27" s="30"/>
      <c r="M27" s="31" t="s">
        <v>138</v>
      </c>
      <c r="N27" s="237" t="s">
        <v>139</v>
      </c>
      <c r="O27" s="237"/>
      <c r="P27" s="21">
        <v>1</v>
      </c>
      <c r="Q27" s="22">
        <v>2577</v>
      </c>
      <c r="R27" s="21">
        <v>34</v>
      </c>
      <c r="S27" s="22">
        <v>2577</v>
      </c>
      <c r="W27" s="30"/>
    </row>
    <row r="28" spans="1:23" x14ac:dyDescent="0.25">
      <c r="A28" s="248" t="s">
        <v>127</v>
      </c>
      <c r="B28" s="249"/>
      <c r="C28" s="249"/>
      <c r="D28" s="249"/>
      <c r="E28" s="249"/>
      <c r="F28" s="26">
        <v>908</v>
      </c>
      <c r="G28" s="25">
        <v>41781</v>
      </c>
      <c r="K28" s="30"/>
      <c r="M28" s="32" t="s">
        <v>117</v>
      </c>
      <c r="N28" s="247" t="s">
        <v>118</v>
      </c>
      <c r="O28" s="247"/>
      <c r="P28" s="23">
        <v>20</v>
      </c>
      <c r="Q28" s="23">
        <v>82</v>
      </c>
      <c r="R28" s="23">
        <v>22</v>
      </c>
      <c r="S28" s="24">
        <v>1643</v>
      </c>
      <c r="W28" s="30"/>
    </row>
    <row r="29" spans="1:23" x14ac:dyDescent="0.25">
      <c r="A29" s="250" t="s">
        <v>128</v>
      </c>
      <c r="B29" s="251"/>
      <c r="C29" s="251"/>
      <c r="D29" s="251"/>
      <c r="E29" s="251"/>
      <c r="F29" s="34">
        <v>8920</v>
      </c>
      <c r="G29" s="34">
        <v>410304</v>
      </c>
      <c r="H29" s="33"/>
      <c r="I29" s="33"/>
      <c r="J29" s="33"/>
      <c r="K29" s="35"/>
      <c r="M29" s="31" t="s">
        <v>119</v>
      </c>
      <c r="N29" s="237" t="s">
        <v>120</v>
      </c>
      <c r="O29" s="237"/>
      <c r="P29" s="22">
        <v>1429</v>
      </c>
      <c r="Q29" s="21">
        <v>4</v>
      </c>
      <c r="R29" s="21">
        <v>82</v>
      </c>
      <c r="S29" s="22">
        <v>6230</v>
      </c>
      <c r="W29" s="30"/>
    </row>
    <row r="30" spans="1:23" x14ac:dyDescent="0.25">
      <c r="M30" s="32" t="s">
        <v>99</v>
      </c>
      <c r="N30" s="247" t="s">
        <v>100</v>
      </c>
      <c r="O30" s="247"/>
      <c r="P30" s="23">
        <v>2</v>
      </c>
      <c r="Q30" s="23">
        <v>309</v>
      </c>
      <c r="R30" s="23">
        <v>8</v>
      </c>
      <c r="S30" s="23">
        <v>618</v>
      </c>
      <c r="U30" s="23">
        <v>42</v>
      </c>
      <c r="V30" s="6">
        <f>S13+S24+S35</f>
        <v>14024</v>
      </c>
      <c r="W30" s="36">
        <f>ROUND(V30*(6/76),0)</f>
        <v>1107</v>
      </c>
    </row>
    <row r="31" spans="1:23" x14ac:dyDescent="0.25">
      <c r="M31" s="31" t="s">
        <v>121</v>
      </c>
      <c r="N31" s="237" t="s">
        <v>122</v>
      </c>
      <c r="O31" s="237"/>
      <c r="P31" s="21">
        <v>10</v>
      </c>
      <c r="Q31" s="21">
        <v>94</v>
      </c>
      <c r="R31" s="21">
        <v>12</v>
      </c>
      <c r="S31" s="21">
        <v>944</v>
      </c>
      <c r="U31" s="21">
        <v>43</v>
      </c>
      <c r="V31" s="6">
        <f>S23+S25+S29+S31+S34</f>
        <v>29769</v>
      </c>
      <c r="W31" s="36">
        <f t="shared" ref="W31:W32" si="0">ROUND(V31*(6/76),0)</f>
        <v>2350</v>
      </c>
    </row>
    <row r="32" spans="1:23" x14ac:dyDescent="0.25">
      <c r="M32" s="32" t="s">
        <v>131</v>
      </c>
      <c r="N32" s="247" t="s">
        <v>132</v>
      </c>
      <c r="O32" s="247"/>
      <c r="P32" s="23">
        <v>2</v>
      </c>
      <c r="Q32" s="23">
        <v>194</v>
      </c>
      <c r="R32" s="23">
        <v>5</v>
      </c>
      <c r="S32" s="23">
        <v>388</v>
      </c>
      <c r="U32" s="23">
        <v>45</v>
      </c>
      <c r="V32" s="6">
        <f>S17+S19+S20+S26+S27</f>
        <v>27192</v>
      </c>
      <c r="W32" s="36">
        <f t="shared" si="0"/>
        <v>2147</v>
      </c>
    </row>
    <row r="33" spans="1:23" x14ac:dyDescent="0.25">
      <c r="C33">
        <v>46</v>
      </c>
      <c r="D33">
        <v>4</v>
      </c>
      <c r="E33" s="6">
        <f>D33*F29</f>
        <v>35680</v>
      </c>
      <c r="H33">
        <v>42</v>
      </c>
      <c r="I33" s="6">
        <f>G12+G27</f>
        <v>11760</v>
      </c>
      <c r="J33" s="6">
        <f>ROUND(I33*(4/46),0)</f>
        <v>1023</v>
      </c>
      <c r="M33" s="31" t="s">
        <v>133</v>
      </c>
      <c r="N33" s="237" t="s">
        <v>134</v>
      </c>
      <c r="O33" s="237"/>
      <c r="P33" s="21">
        <v>8</v>
      </c>
      <c r="Q33" s="21">
        <v>183</v>
      </c>
      <c r="R33" s="21">
        <v>19</v>
      </c>
      <c r="S33" s="22">
        <v>1462</v>
      </c>
      <c r="V33" s="6">
        <f>SUM(V30:V32)</f>
        <v>70985</v>
      </c>
      <c r="W33" s="6">
        <f>SUM(W30:W32)</f>
        <v>5604</v>
      </c>
    </row>
    <row r="34" spans="1:23" x14ac:dyDescent="0.25">
      <c r="C34">
        <v>76</v>
      </c>
      <c r="D34">
        <v>6</v>
      </c>
      <c r="E34" s="6">
        <f>D34*R38</f>
        <v>17322</v>
      </c>
      <c r="H34">
        <v>43</v>
      </c>
      <c r="I34" s="6">
        <f>G20+G24+G25+G26</f>
        <v>31194</v>
      </c>
      <c r="J34" s="6">
        <f t="shared" ref="J34:J35" si="1">ROUND(I34*(4/46),0)</f>
        <v>2713</v>
      </c>
      <c r="M34" s="32" t="s">
        <v>123</v>
      </c>
      <c r="N34" s="247" t="s">
        <v>124</v>
      </c>
      <c r="O34" s="247"/>
      <c r="P34" s="23">
        <v>86</v>
      </c>
      <c r="Q34" s="23">
        <v>192</v>
      </c>
      <c r="R34" s="23">
        <v>217</v>
      </c>
      <c r="S34" s="24">
        <v>16490</v>
      </c>
      <c r="W34" s="30"/>
    </row>
    <row r="35" spans="1:23" x14ac:dyDescent="0.25">
      <c r="C35">
        <f>SUM(C33:C34)</f>
        <v>122</v>
      </c>
      <c r="D35">
        <f>SUM(D33:D34)</f>
        <v>10</v>
      </c>
      <c r="E35" s="6">
        <f>SUM(E33:E34)</f>
        <v>53002</v>
      </c>
      <c r="H35">
        <v>45</v>
      </c>
      <c r="I35" s="6">
        <f>G23+G17+G16+G14+G15</f>
        <v>274269</v>
      </c>
      <c r="J35" s="6">
        <f t="shared" si="1"/>
        <v>23849</v>
      </c>
      <c r="M35" s="31" t="s">
        <v>125</v>
      </c>
      <c r="N35" s="237" t="s">
        <v>126</v>
      </c>
      <c r="O35" s="237"/>
      <c r="P35" s="21">
        <v>22</v>
      </c>
      <c r="Q35" s="21">
        <v>137</v>
      </c>
      <c r="R35" s="21">
        <v>40</v>
      </c>
      <c r="S35" s="22">
        <v>3016</v>
      </c>
      <c r="W35" s="30"/>
    </row>
    <row r="36" spans="1:23" x14ac:dyDescent="0.25">
      <c r="I36" s="6">
        <f>SUM(I33:I35)</f>
        <v>317223</v>
      </c>
      <c r="J36" s="6">
        <f>SUM(J33:J35)</f>
        <v>27585</v>
      </c>
      <c r="M36" s="32" t="s">
        <v>107</v>
      </c>
      <c r="N36" s="247" t="s">
        <v>108</v>
      </c>
      <c r="O36" s="247"/>
      <c r="P36" s="23">
        <v>4</v>
      </c>
      <c r="Q36" s="23">
        <v>552</v>
      </c>
      <c r="R36" s="23">
        <v>29</v>
      </c>
      <c r="S36" s="24">
        <v>2209</v>
      </c>
      <c r="W36" s="30"/>
    </row>
    <row r="37" spans="1:23" x14ac:dyDescent="0.25">
      <c r="M37" s="248" t="s">
        <v>127</v>
      </c>
      <c r="N37" s="249"/>
      <c r="O37" s="249"/>
      <c r="P37" s="249"/>
      <c r="Q37" s="249"/>
      <c r="R37" s="26">
        <v>654</v>
      </c>
      <c r="S37" s="25">
        <v>49704</v>
      </c>
      <c r="W37" s="30"/>
    </row>
    <row r="38" spans="1:23" x14ac:dyDescent="0.25">
      <c r="M38" s="250" t="s">
        <v>128</v>
      </c>
      <c r="N38" s="251"/>
      <c r="O38" s="251"/>
      <c r="P38" s="251"/>
      <c r="Q38" s="251"/>
      <c r="R38" s="34">
        <v>2887</v>
      </c>
      <c r="S38" s="34">
        <v>219421</v>
      </c>
      <c r="T38" s="33"/>
      <c r="U38" s="33"/>
      <c r="V38" s="33"/>
      <c r="W38" s="35"/>
    </row>
    <row r="41" spans="1:23" ht="23.25" x14ac:dyDescent="0.25">
      <c r="A41" s="17" t="s">
        <v>78</v>
      </c>
      <c r="M41" s="17" t="s">
        <v>78</v>
      </c>
    </row>
    <row r="42" spans="1:23" x14ac:dyDescent="0.25">
      <c r="A42" s="16"/>
      <c r="M42" s="16"/>
    </row>
    <row r="43" spans="1:23" x14ac:dyDescent="0.25">
      <c r="A43" s="18" t="s">
        <v>79</v>
      </c>
      <c r="M43" s="18" t="s">
        <v>79</v>
      </c>
    </row>
    <row r="44" spans="1:23" x14ac:dyDescent="0.25">
      <c r="A44" s="18" t="s">
        <v>80</v>
      </c>
      <c r="M44" s="18" t="s">
        <v>80</v>
      </c>
    </row>
    <row r="45" spans="1:23" x14ac:dyDescent="0.25">
      <c r="A45" s="18" t="s">
        <v>140</v>
      </c>
      <c r="M45" s="18" t="s">
        <v>142</v>
      </c>
    </row>
    <row r="46" spans="1:23" x14ac:dyDescent="0.25">
      <c r="A46" s="18" t="s">
        <v>141</v>
      </c>
      <c r="M46" s="18" t="s">
        <v>143</v>
      </c>
    </row>
    <row r="47" spans="1:23" ht="26.25" x14ac:dyDescent="0.25">
      <c r="A47" s="238" t="s">
        <v>83</v>
      </c>
      <c r="B47" s="239"/>
      <c r="C47" s="239"/>
      <c r="D47" s="28" t="s">
        <v>84</v>
      </c>
      <c r="E47" s="28" t="s">
        <v>86</v>
      </c>
      <c r="F47" s="28" t="s">
        <v>89</v>
      </c>
      <c r="G47" s="28" t="s">
        <v>84</v>
      </c>
      <c r="H47" s="27"/>
      <c r="I47" s="27"/>
      <c r="J47" s="27"/>
      <c r="K47" s="29"/>
      <c r="M47" s="238" t="s">
        <v>83</v>
      </c>
      <c r="N47" s="239"/>
      <c r="O47" s="239"/>
      <c r="P47" s="28" t="s">
        <v>84</v>
      </c>
      <c r="Q47" s="28" t="s">
        <v>86</v>
      </c>
      <c r="R47" s="28" t="s">
        <v>89</v>
      </c>
      <c r="S47" s="28" t="s">
        <v>84</v>
      </c>
      <c r="T47" s="27"/>
      <c r="U47" s="27"/>
      <c r="V47" s="27"/>
      <c r="W47" s="29"/>
    </row>
    <row r="48" spans="1:23" x14ac:dyDescent="0.25">
      <c r="A48" s="240"/>
      <c r="B48" s="241"/>
      <c r="C48" s="241"/>
      <c r="D48" s="19" t="s">
        <v>85</v>
      </c>
      <c r="E48" s="19" t="s">
        <v>87</v>
      </c>
      <c r="F48" s="19" t="s">
        <v>90</v>
      </c>
      <c r="G48" s="19" t="s">
        <v>92</v>
      </c>
      <c r="K48" s="30"/>
      <c r="M48" s="240"/>
      <c r="N48" s="241"/>
      <c r="O48" s="241"/>
      <c r="P48" s="19" t="s">
        <v>85</v>
      </c>
      <c r="Q48" s="19" t="s">
        <v>87</v>
      </c>
      <c r="R48" s="19" t="s">
        <v>90</v>
      </c>
      <c r="S48" s="19" t="s">
        <v>92</v>
      </c>
      <c r="W48" s="30"/>
    </row>
    <row r="49" spans="1:23" x14ac:dyDescent="0.25">
      <c r="A49" s="242"/>
      <c r="B49" s="243"/>
      <c r="C49" s="243"/>
      <c r="D49" s="20"/>
      <c r="E49" s="20" t="s">
        <v>88</v>
      </c>
      <c r="F49" s="20" t="s">
        <v>91</v>
      </c>
      <c r="G49" s="20" t="s">
        <v>93</v>
      </c>
      <c r="K49" s="30"/>
      <c r="M49" s="242"/>
      <c r="N49" s="243"/>
      <c r="O49" s="243"/>
      <c r="P49" s="20"/>
      <c r="Q49" s="20" t="s">
        <v>88</v>
      </c>
      <c r="R49" s="20" t="s">
        <v>91</v>
      </c>
      <c r="S49" s="20" t="s">
        <v>93</v>
      </c>
      <c r="W49" s="30"/>
    </row>
    <row r="50" spans="1:23" x14ac:dyDescent="0.25">
      <c r="A50" s="244" t="s">
        <v>94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6"/>
      <c r="M50" s="244" t="s">
        <v>94</v>
      </c>
      <c r="N50" s="245"/>
      <c r="O50" s="245"/>
      <c r="P50" s="245"/>
      <c r="Q50" s="245"/>
      <c r="R50" s="245"/>
      <c r="S50" s="245"/>
      <c r="T50" s="245"/>
      <c r="U50" s="245"/>
      <c r="V50" s="245"/>
      <c r="W50" s="246"/>
    </row>
    <row r="51" spans="1:23" x14ac:dyDescent="0.25">
      <c r="A51" s="31" t="s">
        <v>95</v>
      </c>
      <c r="B51" s="237" t="s">
        <v>96</v>
      </c>
      <c r="C51" s="237"/>
      <c r="D51" s="21">
        <v>411</v>
      </c>
      <c r="E51" s="21">
        <v>596</v>
      </c>
      <c r="F51" s="22">
        <v>4453</v>
      </c>
      <c r="G51" s="22">
        <v>244903</v>
      </c>
      <c r="I51">
        <f>D51/55</f>
        <v>7.4727272727272727</v>
      </c>
      <c r="J51">
        <f>7*23</f>
        <v>161</v>
      </c>
      <c r="K51" s="30"/>
      <c r="M51" s="31" t="s">
        <v>95</v>
      </c>
      <c r="N51" s="237" t="s">
        <v>96</v>
      </c>
      <c r="O51" s="237"/>
      <c r="P51" s="21">
        <v>135</v>
      </c>
      <c r="Q51" s="21">
        <v>571</v>
      </c>
      <c r="R51" s="22">
        <v>1243</v>
      </c>
      <c r="S51" s="22">
        <v>77048</v>
      </c>
      <c r="U51">
        <f>P51/62</f>
        <v>2.1774193548387095</v>
      </c>
      <c r="V51">
        <f>2*27</f>
        <v>54</v>
      </c>
      <c r="W51" s="30"/>
    </row>
    <row r="52" spans="1:23" x14ac:dyDescent="0.25">
      <c r="A52" s="32" t="s">
        <v>99</v>
      </c>
      <c r="B52" s="247" t="s">
        <v>100</v>
      </c>
      <c r="C52" s="247"/>
      <c r="D52" s="23">
        <v>4</v>
      </c>
      <c r="E52" s="23">
        <v>389</v>
      </c>
      <c r="F52" s="23">
        <v>28</v>
      </c>
      <c r="G52" s="24">
        <v>1555</v>
      </c>
      <c r="K52" s="30"/>
      <c r="M52" s="32" t="s">
        <v>99</v>
      </c>
      <c r="N52" s="247" t="s">
        <v>100</v>
      </c>
      <c r="O52" s="247"/>
      <c r="P52" s="23">
        <v>4</v>
      </c>
      <c r="Q52" s="23">
        <v>316</v>
      </c>
      <c r="R52" s="23">
        <v>20</v>
      </c>
      <c r="S52" s="24">
        <v>1263</v>
      </c>
      <c r="W52" s="30"/>
    </row>
    <row r="53" spans="1:23" x14ac:dyDescent="0.25">
      <c r="A53" s="31" t="s">
        <v>133</v>
      </c>
      <c r="B53" s="237" t="s">
        <v>134</v>
      </c>
      <c r="C53" s="237"/>
      <c r="D53" s="21">
        <v>2</v>
      </c>
      <c r="E53" s="21">
        <v>376</v>
      </c>
      <c r="F53" s="21">
        <v>14</v>
      </c>
      <c r="G53" s="21">
        <v>751</v>
      </c>
      <c r="K53" s="30"/>
      <c r="M53" s="31" t="s">
        <v>135</v>
      </c>
      <c r="N53" s="237" t="s">
        <v>38</v>
      </c>
      <c r="O53" s="237"/>
      <c r="P53" s="21">
        <v>6</v>
      </c>
      <c r="Q53" s="22">
        <v>1276</v>
      </c>
      <c r="R53" s="21">
        <v>124</v>
      </c>
      <c r="S53" s="22">
        <v>7658</v>
      </c>
      <c r="W53" s="30"/>
    </row>
    <row r="54" spans="1:23" x14ac:dyDescent="0.25">
      <c r="A54" s="32" t="s">
        <v>135</v>
      </c>
      <c r="B54" s="247" t="s">
        <v>38</v>
      </c>
      <c r="C54" s="247"/>
      <c r="D54" s="23">
        <v>19</v>
      </c>
      <c r="E54" s="24">
        <v>1478</v>
      </c>
      <c r="F54" s="23">
        <v>511</v>
      </c>
      <c r="G54" s="24">
        <v>28082</v>
      </c>
      <c r="K54" s="30"/>
      <c r="M54" s="32" t="s">
        <v>103</v>
      </c>
      <c r="N54" s="247" t="s">
        <v>104</v>
      </c>
      <c r="O54" s="247"/>
      <c r="P54" s="23">
        <v>63</v>
      </c>
      <c r="Q54" s="24">
        <v>5546</v>
      </c>
      <c r="R54" s="24">
        <v>5636</v>
      </c>
      <c r="S54" s="24">
        <v>349403</v>
      </c>
      <c r="W54" s="30"/>
    </row>
    <row r="55" spans="1:23" x14ac:dyDescent="0.25">
      <c r="A55" s="31" t="s">
        <v>103</v>
      </c>
      <c r="B55" s="237" t="s">
        <v>104</v>
      </c>
      <c r="C55" s="237"/>
      <c r="D55" s="21">
        <v>63</v>
      </c>
      <c r="E55" s="22">
        <v>5412</v>
      </c>
      <c r="F55" s="22">
        <v>6199</v>
      </c>
      <c r="G55" s="22">
        <v>340936</v>
      </c>
      <c r="K55" s="30"/>
      <c r="M55" s="248" t="s">
        <v>109</v>
      </c>
      <c r="N55" s="249"/>
      <c r="O55" s="249"/>
      <c r="P55" s="249"/>
      <c r="Q55" s="249"/>
      <c r="R55" s="25">
        <v>7022</v>
      </c>
      <c r="S55" s="25">
        <v>435372</v>
      </c>
      <c r="W55" s="30"/>
    </row>
    <row r="56" spans="1:23" x14ac:dyDescent="0.25">
      <c r="A56" s="32" t="s">
        <v>105</v>
      </c>
      <c r="B56" s="247" t="s">
        <v>106</v>
      </c>
      <c r="C56" s="247"/>
      <c r="D56" s="23">
        <v>5</v>
      </c>
      <c r="E56" s="23">
        <v>439</v>
      </c>
      <c r="F56" s="23">
        <v>40</v>
      </c>
      <c r="G56" s="24">
        <v>2195</v>
      </c>
      <c r="K56" s="30"/>
      <c r="M56" s="244" t="s">
        <v>110</v>
      </c>
      <c r="N56" s="245"/>
      <c r="O56" s="245"/>
      <c r="P56" s="245"/>
      <c r="Q56" s="245"/>
      <c r="R56" s="245"/>
      <c r="S56" s="245"/>
      <c r="T56" s="245"/>
      <c r="U56" s="245"/>
      <c r="V56" s="245"/>
      <c r="W56" s="246"/>
    </row>
    <row r="57" spans="1:23" x14ac:dyDescent="0.25">
      <c r="A57" s="248" t="s">
        <v>109</v>
      </c>
      <c r="B57" s="249"/>
      <c r="C57" s="249"/>
      <c r="D57" s="249"/>
      <c r="E57" s="249"/>
      <c r="F57" s="25">
        <v>11244</v>
      </c>
      <c r="G57" s="25">
        <v>618422</v>
      </c>
      <c r="K57" s="30"/>
      <c r="M57" s="31" t="s">
        <v>111</v>
      </c>
      <c r="N57" s="237" t="s">
        <v>112</v>
      </c>
      <c r="O57" s="237"/>
      <c r="P57" s="21">
        <v>9</v>
      </c>
      <c r="Q57" s="21">
        <v>20</v>
      </c>
      <c r="R57" s="21">
        <v>3</v>
      </c>
      <c r="S57" s="21">
        <v>184</v>
      </c>
      <c r="W57" s="30"/>
    </row>
    <row r="58" spans="1:23" x14ac:dyDescent="0.25">
      <c r="A58" s="244" t="s">
        <v>110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6"/>
      <c r="M58" s="32" t="s">
        <v>144</v>
      </c>
      <c r="N58" s="247" t="s">
        <v>145</v>
      </c>
      <c r="O58" s="247"/>
      <c r="P58" s="23">
        <v>1</v>
      </c>
      <c r="Q58" s="23">
        <v>1</v>
      </c>
      <c r="R58" s="23"/>
      <c r="S58" s="23">
        <v>1</v>
      </c>
      <c r="W58" s="30"/>
    </row>
    <row r="59" spans="1:23" x14ac:dyDescent="0.25">
      <c r="A59" s="31" t="s">
        <v>111</v>
      </c>
      <c r="B59" s="237" t="s">
        <v>112</v>
      </c>
      <c r="C59" s="237"/>
      <c r="D59" s="21">
        <v>143</v>
      </c>
      <c r="E59" s="21">
        <v>23</v>
      </c>
      <c r="F59" s="21">
        <v>61</v>
      </c>
      <c r="G59" s="22">
        <v>3360</v>
      </c>
      <c r="K59" s="30"/>
      <c r="M59" s="31" t="s">
        <v>113</v>
      </c>
      <c r="N59" s="237" t="s">
        <v>114</v>
      </c>
      <c r="O59" s="237"/>
      <c r="P59" s="21">
        <v>4</v>
      </c>
      <c r="Q59" s="21">
        <v>29</v>
      </c>
      <c r="R59" s="21">
        <v>2</v>
      </c>
      <c r="S59" s="21">
        <v>115</v>
      </c>
      <c r="W59" s="30"/>
    </row>
    <row r="60" spans="1:23" ht="25.5" customHeight="1" x14ac:dyDescent="0.25">
      <c r="A60" s="32" t="s">
        <v>136</v>
      </c>
      <c r="B60" s="247" t="s">
        <v>137</v>
      </c>
      <c r="C60" s="247"/>
      <c r="D60" s="23">
        <v>8</v>
      </c>
      <c r="E60" s="23">
        <v>55</v>
      </c>
      <c r="F60" s="23">
        <v>8</v>
      </c>
      <c r="G60" s="23">
        <v>437</v>
      </c>
      <c r="K60" s="30"/>
      <c r="M60" s="32" t="s">
        <v>95</v>
      </c>
      <c r="N60" s="247" t="s">
        <v>96</v>
      </c>
      <c r="O60" s="247"/>
      <c r="P60" s="23">
        <v>3</v>
      </c>
      <c r="Q60" s="23">
        <v>508</v>
      </c>
      <c r="R60" s="23">
        <v>25</v>
      </c>
      <c r="S60" s="24">
        <v>1524</v>
      </c>
      <c r="W60" s="30"/>
    </row>
    <row r="61" spans="1:23" x14ac:dyDescent="0.25">
      <c r="A61" s="31" t="s">
        <v>113</v>
      </c>
      <c r="B61" s="237" t="s">
        <v>114</v>
      </c>
      <c r="C61" s="237"/>
      <c r="D61" s="21">
        <v>17</v>
      </c>
      <c r="E61" s="21">
        <v>159</v>
      </c>
      <c r="F61" s="21">
        <v>49</v>
      </c>
      <c r="G61" s="22">
        <v>2696</v>
      </c>
      <c r="K61" s="30"/>
      <c r="M61" s="31" t="s">
        <v>119</v>
      </c>
      <c r="N61" s="237" t="s">
        <v>120</v>
      </c>
      <c r="O61" s="237"/>
      <c r="P61" s="21">
        <v>619</v>
      </c>
      <c r="Q61" s="21">
        <v>6</v>
      </c>
      <c r="R61" s="21">
        <v>60</v>
      </c>
      <c r="S61" s="22">
        <v>3747</v>
      </c>
      <c r="W61" s="30"/>
    </row>
    <row r="62" spans="1:23" x14ac:dyDescent="0.25">
      <c r="A62" s="32" t="s">
        <v>115</v>
      </c>
      <c r="B62" s="247" t="s">
        <v>116</v>
      </c>
      <c r="C62" s="247"/>
      <c r="D62" s="23">
        <v>15</v>
      </c>
      <c r="E62" s="23">
        <v>69</v>
      </c>
      <c r="F62" s="23">
        <v>19</v>
      </c>
      <c r="G62" s="24">
        <v>1059</v>
      </c>
      <c r="K62" s="30"/>
      <c r="M62" s="32" t="s">
        <v>99</v>
      </c>
      <c r="N62" s="247" t="s">
        <v>100</v>
      </c>
      <c r="O62" s="247"/>
      <c r="P62" s="23">
        <v>1</v>
      </c>
      <c r="Q62" s="23">
        <v>189</v>
      </c>
      <c r="R62" s="23">
        <v>3</v>
      </c>
      <c r="S62" s="23">
        <v>189</v>
      </c>
      <c r="W62" s="30"/>
    </row>
    <row r="63" spans="1:23" x14ac:dyDescent="0.25">
      <c r="A63" s="31" t="s">
        <v>95</v>
      </c>
      <c r="B63" s="237" t="s">
        <v>96</v>
      </c>
      <c r="C63" s="237"/>
      <c r="D63" s="21">
        <v>1</v>
      </c>
      <c r="E63" s="21">
        <v>508</v>
      </c>
      <c r="F63" s="21">
        <v>9</v>
      </c>
      <c r="G63" s="21">
        <v>508</v>
      </c>
      <c r="I63" s="21">
        <v>42</v>
      </c>
      <c r="J63" s="6">
        <f>G54+G60+G72</f>
        <v>49656</v>
      </c>
      <c r="K63" s="36">
        <f>ROUND(J63*(23/55),0)</f>
        <v>20765</v>
      </c>
      <c r="M63" s="31" t="s">
        <v>121</v>
      </c>
      <c r="N63" s="237" t="s">
        <v>122</v>
      </c>
      <c r="O63" s="237"/>
      <c r="P63" s="21">
        <v>107</v>
      </c>
      <c r="Q63" s="21">
        <v>152</v>
      </c>
      <c r="R63" s="21">
        <v>263</v>
      </c>
      <c r="S63" s="22">
        <v>16314</v>
      </c>
      <c r="W63" s="30"/>
    </row>
    <row r="64" spans="1:23" x14ac:dyDescent="0.25">
      <c r="A64" s="32" t="s">
        <v>138</v>
      </c>
      <c r="B64" s="247" t="s">
        <v>139</v>
      </c>
      <c r="C64" s="247"/>
      <c r="D64" s="23">
        <v>6</v>
      </c>
      <c r="E64" s="24">
        <v>2629</v>
      </c>
      <c r="F64" s="23">
        <v>272</v>
      </c>
      <c r="G64" s="24">
        <v>14984</v>
      </c>
      <c r="I64">
        <v>43</v>
      </c>
      <c r="J64" s="6">
        <f>G59+G61+G68+G71</f>
        <v>60118</v>
      </c>
      <c r="K64" s="36">
        <f t="shared" ref="K64:K65" si="2">ROUND(J64*(23/55),0)</f>
        <v>25140</v>
      </c>
      <c r="M64" s="32" t="s">
        <v>123</v>
      </c>
      <c r="N64" s="247" t="s">
        <v>124</v>
      </c>
      <c r="O64" s="247"/>
      <c r="P64" s="23">
        <v>10</v>
      </c>
      <c r="Q64" s="23">
        <v>168</v>
      </c>
      <c r="R64" s="23">
        <v>27</v>
      </c>
      <c r="S64" s="24">
        <v>1680</v>
      </c>
      <c r="W64" s="30"/>
    </row>
    <row r="65" spans="1:23" x14ac:dyDescent="0.25">
      <c r="A65" s="31" t="s">
        <v>117</v>
      </c>
      <c r="B65" s="237" t="s">
        <v>118</v>
      </c>
      <c r="C65" s="237"/>
      <c r="D65" s="21">
        <v>43</v>
      </c>
      <c r="E65" s="21">
        <v>113</v>
      </c>
      <c r="F65" s="21">
        <v>88</v>
      </c>
      <c r="G65" s="22">
        <v>4863</v>
      </c>
      <c r="I65" s="21">
        <v>45</v>
      </c>
      <c r="J65" s="6">
        <f>G55+G56+G62+G64+G73</f>
        <v>361532</v>
      </c>
      <c r="K65" s="36">
        <f t="shared" si="2"/>
        <v>151186</v>
      </c>
      <c r="M65" s="31" t="s">
        <v>125</v>
      </c>
      <c r="N65" s="237" t="s">
        <v>126</v>
      </c>
      <c r="O65" s="237"/>
      <c r="P65" s="21">
        <v>6</v>
      </c>
      <c r="Q65" s="21">
        <v>136</v>
      </c>
      <c r="R65" s="21">
        <v>13</v>
      </c>
      <c r="S65" s="21">
        <v>816</v>
      </c>
      <c r="W65" s="30"/>
    </row>
    <row r="66" spans="1:23" x14ac:dyDescent="0.25">
      <c r="A66" s="32" t="s">
        <v>119</v>
      </c>
      <c r="B66" s="247" t="s">
        <v>120</v>
      </c>
      <c r="C66" s="247"/>
      <c r="D66" s="24">
        <v>2750</v>
      </c>
      <c r="E66" s="23">
        <v>5</v>
      </c>
      <c r="F66" s="23">
        <v>228</v>
      </c>
      <c r="G66" s="24">
        <v>12566</v>
      </c>
      <c r="J66" s="6">
        <f>SUM(J63:J65)</f>
        <v>471306</v>
      </c>
      <c r="K66" s="6">
        <f>SUM(K63:K65)</f>
        <v>197091</v>
      </c>
      <c r="M66" s="248" t="s">
        <v>127</v>
      </c>
      <c r="N66" s="249"/>
      <c r="O66" s="249"/>
      <c r="P66" s="249"/>
      <c r="Q66" s="249"/>
      <c r="R66" s="26">
        <v>396</v>
      </c>
      <c r="S66" s="25">
        <v>24571</v>
      </c>
      <c r="W66" s="30"/>
    </row>
    <row r="67" spans="1:23" x14ac:dyDescent="0.25">
      <c r="A67" s="31" t="s">
        <v>99</v>
      </c>
      <c r="B67" s="237" t="s">
        <v>100</v>
      </c>
      <c r="C67" s="237"/>
      <c r="D67" s="21">
        <v>1</v>
      </c>
      <c r="E67" s="21">
        <v>190</v>
      </c>
      <c r="F67" s="21">
        <v>3</v>
      </c>
      <c r="G67" s="21">
        <v>190</v>
      </c>
      <c r="K67" s="30"/>
      <c r="M67" s="250" t="s">
        <v>128</v>
      </c>
      <c r="N67" s="251"/>
      <c r="O67" s="251"/>
      <c r="P67" s="251"/>
      <c r="Q67" s="251"/>
      <c r="R67" s="34">
        <v>7418</v>
      </c>
      <c r="S67" s="34">
        <v>459942</v>
      </c>
      <c r="T67" s="33"/>
      <c r="U67" s="33"/>
      <c r="V67" s="33"/>
      <c r="W67" s="35"/>
    </row>
    <row r="68" spans="1:23" x14ac:dyDescent="0.25">
      <c r="A68" s="32" t="s">
        <v>121</v>
      </c>
      <c r="B68" s="247" t="s">
        <v>122</v>
      </c>
      <c r="C68" s="247"/>
      <c r="D68" s="23">
        <v>249</v>
      </c>
      <c r="E68" s="23">
        <v>138</v>
      </c>
      <c r="F68" s="23">
        <v>624</v>
      </c>
      <c r="G68" s="24">
        <v>34323</v>
      </c>
      <c r="K68" s="30"/>
    </row>
    <row r="69" spans="1:23" x14ac:dyDescent="0.25">
      <c r="A69" s="31" t="s">
        <v>131</v>
      </c>
      <c r="B69" s="237" t="s">
        <v>132</v>
      </c>
      <c r="C69" s="237"/>
      <c r="D69" s="21">
        <v>1</v>
      </c>
      <c r="E69" s="21">
        <v>292</v>
      </c>
      <c r="F69" s="21">
        <v>5</v>
      </c>
      <c r="G69" s="21">
        <v>292</v>
      </c>
      <c r="K69" s="30"/>
    </row>
    <row r="70" spans="1:23" x14ac:dyDescent="0.25">
      <c r="A70" s="32" t="s">
        <v>133</v>
      </c>
      <c r="B70" s="247" t="s">
        <v>134</v>
      </c>
      <c r="C70" s="247"/>
      <c r="D70" s="23">
        <v>4</v>
      </c>
      <c r="E70" s="23">
        <v>259</v>
      </c>
      <c r="F70" s="23">
        <v>19</v>
      </c>
      <c r="G70" s="24">
        <v>1035</v>
      </c>
      <c r="K70" s="30"/>
      <c r="T70">
        <v>42</v>
      </c>
      <c r="U70" s="6">
        <f>S53+S65</f>
        <v>8474</v>
      </c>
      <c r="V70" s="6">
        <f>ROUND(U70*(27/62),0)</f>
        <v>3690</v>
      </c>
    </row>
    <row r="71" spans="1:23" x14ac:dyDescent="0.25">
      <c r="A71" s="31" t="s">
        <v>123</v>
      </c>
      <c r="B71" s="237" t="s">
        <v>124</v>
      </c>
      <c r="C71" s="237"/>
      <c r="D71" s="21">
        <v>119</v>
      </c>
      <c r="E71" s="21">
        <v>166</v>
      </c>
      <c r="F71" s="21">
        <v>359</v>
      </c>
      <c r="G71" s="22">
        <v>19739</v>
      </c>
      <c r="K71" s="30"/>
      <c r="T71">
        <v>43</v>
      </c>
      <c r="U71" s="6">
        <f>S57+S59+S58+S61+S63+S64</f>
        <v>22041</v>
      </c>
      <c r="V71" s="6">
        <f t="shared" ref="V71:V72" si="3">ROUND(U71*(27/62),0)</f>
        <v>9599</v>
      </c>
    </row>
    <row r="72" spans="1:23" x14ac:dyDescent="0.25">
      <c r="A72" s="32" t="s">
        <v>125</v>
      </c>
      <c r="B72" s="247" t="s">
        <v>126</v>
      </c>
      <c r="C72" s="247"/>
      <c r="D72" s="23">
        <v>162</v>
      </c>
      <c r="E72" s="23">
        <v>130</v>
      </c>
      <c r="F72" s="23">
        <v>384</v>
      </c>
      <c r="G72" s="24">
        <v>21137</v>
      </c>
      <c r="K72" s="30"/>
      <c r="T72">
        <v>45</v>
      </c>
      <c r="U72" s="6">
        <f>S54</f>
        <v>349403</v>
      </c>
      <c r="V72" s="6">
        <f t="shared" si="3"/>
        <v>152159</v>
      </c>
    </row>
    <row r="73" spans="1:23" x14ac:dyDescent="0.25">
      <c r="A73" s="31" t="s">
        <v>107</v>
      </c>
      <c r="B73" s="237" t="s">
        <v>108</v>
      </c>
      <c r="C73" s="237"/>
      <c r="D73" s="21">
        <v>3</v>
      </c>
      <c r="E73" s="21">
        <v>786</v>
      </c>
      <c r="F73" s="21">
        <v>43</v>
      </c>
      <c r="G73" s="22">
        <v>2358</v>
      </c>
      <c r="K73" s="30"/>
      <c r="U73" s="6">
        <f>SUM(U70:U72)</f>
        <v>379918</v>
      </c>
      <c r="V73" s="6">
        <f>SUM(V70:V72)</f>
        <v>165448</v>
      </c>
    </row>
    <row r="74" spans="1:23" x14ac:dyDescent="0.25">
      <c r="A74" s="248" t="s">
        <v>127</v>
      </c>
      <c r="B74" s="249"/>
      <c r="C74" s="249"/>
      <c r="D74" s="249"/>
      <c r="E74" s="249"/>
      <c r="F74" s="25">
        <v>2174</v>
      </c>
      <c r="G74" s="25">
        <v>119547</v>
      </c>
      <c r="K74" s="30"/>
    </row>
    <row r="75" spans="1:23" x14ac:dyDescent="0.25">
      <c r="A75" s="250" t="s">
        <v>128</v>
      </c>
      <c r="B75" s="251"/>
      <c r="C75" s="251"/>
      <c r="D75" s="251"/>
      <c r="E75" s="251"/>
      <c r="F75" s="34">
        <v>13418</v>
      </c>
      <c r="G75" s="34">
        <v>737968</v>
      </c>
      <c r="H75" s="33"/>
      <c r="I75" s="33"/>
      <c r="J75" s="33"/>
      <c r="K75" s="35"/>
    </row>
    <row r="78" spans="1:23" x14ac:dyDescent="0.25">
      <c r="C78">
        <v>55</v>
      </c>
      <c r="D78">
        <v>23</v>
      </c>
      <c r="E78" s="6">
        <f>D78*F75</f>
        <v>308614</v>
      </c>
      <c r="N78">
        <v>42</v>
      </c>
      <c r="O78" s="6">
        <f>J33+W30+K63+V70</f>
        <v>26585</v>
      </c>
    </row>
    <row r="79" spans="1:23" x14ac:dyDescent="0.25">
      <c r="C79">
        <v>62</v>
      </c>
      <c r="D79">
        <f>50-D78</f>
        <v>27</v>
      </c>
      <c r="E79" s="6">
        <f>D79*R67</f>
        <v>200286</v>
      </c>
      <c r="N79">
        <v>43</v>
      </c>
      <c r="O79" s="6">
        <f t="shared" ref="O79:O80" si="4">J34+W31+K64+V71</f>
        <v>39802</v>
      </c>
    </row>
    <row r="80" spans="1:23" x14ac:dyDescent="0.25">
      <c r="C80">
        <f>SUM(C78:C79)</f>
        <v>117</v>
      </c>
      <c r="D80">
        <f>SUM(D78:D79)</f>
        <v>50</v>
      </c>
      <c r="E80" s="6">
        <f>SUM(E78:E79)</f>
        <v>508900</v>
      </c>
      <c r="N80">
        <v>45</v>
      </c>
      <c r="O80" s="6">
        <f t="shared" si="4"/>
        <v>329341</v>
      </c>
    </row>
    <row r="81" spans="15:15" x14ac:dyDescent="0.25">
      <c r="O81" s="6">
        <f>SUM(O78:O80)</f>
        <v>395728</v>
      </c>
    </row>
  </sheetData>
  <mergeCells count="97">
    <mergeCell ref="N63:O63"/>
    <mergeCell ref="N64:O64"/>
    <mergeCell ref="N65:O65"/>
    <mergeCell ref="M66:Q66"/>
    <mergeCell ref="M67:Q67"/>
    <mergeCell ref="N57:O57"/>
    <mergeCell ref="N58:O58"/>
    <mergeCell ref="N59:O59"/>
    <mergeCell ref="N60:O60"/>
    <mergeCell ref="N61:O61"/>
    <mergeCell ref="N62:O62"/>
    <mergeCell ref="A74:E74"/>
    <mergeCell ref="A75:E75"/>
    <mergeCell ref="M47:O49"/>
    <mergeCell ref="M50:W50"/>
    <mergeCell ref="N51:O51"/>
    <mergeCell ref="N52:O52"/>
    <mergeCell ref="N53:O53"/>
    <mergeCell ref="N54:O54"/>
    <mergeCell ref="M55:Q55"/>
    <mergeCell ref="M56:W56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61:C61"/>
    <mergeCell ref="A50:K50"/>
    <mergeCell ref="B51:C51"/>
    <mergeCell ref="B52:C52"/>
    <mergeCell ref="B53:C53"/>
    <mergeCell ref="B54:C54"/>
    <mergeCell ref="B55:C55"/>
    <mergeCell ref="B56:C56"/>
    <mergeCell ref="A57:E57"/>
    <mergeCell ref="A58:K58"/>
    <mergeCell ref="B59:C59"/>
    <mergeCell ref="B60:C60"/>
    <mergeCell ref="A47:C49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M37:Q37"/>
    <mergeCell ref="M38:Q38"/>
    <mergeCell ref="N27:O27"/>
    <mergeCell ref="N16:O16"/>
    <mergeCell ref="N17:O17"/>
    <mergeCell ref="N18:O18"/>
    <mergeCell ref="N19:O19"/>
    <mergeCell ref="N20:O20"/>
    <mergeCell ref="M21:Q21"/>
    <mergeCell ref="M22:W22"/>
    <mergeCell ref="N23:O23"/>
    <mergeCell ref="N24:O24"/>
    <mergeCell ref="N25:O25"/>
    <mergeCell ref="N26:O26"/>
    <mergeCell ref="B27:C27"/>
    <mergeCell ref="A28:E28"/>
    <mergeCell ref="A29:E29"/>
    <mergeCell ref="M7:O9"/>
    <mergeCell ref="M10:W10"/>
    <mergeCell ref="N11:O11"/>
    <mergeCell ref="N12:O12"/>
    <mergeCell ref="N13:O13"/>
    <mergeCell ref="N14:O14"/>
    <mergeCell ref="N15:O15"/>
    <mergeCell ref="B21:C21"/>
    <mergeCell ref="B22:C22"/>
    <mergeCell ref="B23:C23"/>
    <mergeCell ref="B24:C24"/>
    <mergeCell ref="B25:C25"/>
    <mergeCell ref="B26:C26"/>
    <mergeCell ref="B20:C20"/>
    <mergeCell ref="A7:C9"/>
    <mergeCell ref="A10:K10"/>
    <mergeCell ref="B11:C11"/>
    <mergeCell ref="B12:C12"/>
    <mergeCell ref="B13:C13"/>
    <mergeCell ref="B14:C14"/>
    <mergeCell ref="B15:C15"/>
    <mergeCell ref="B16:C16"/>
    <mergeCell ref="B17:C17"/>
    <mergeCell ref="A18:E18"/>
    <mergeCell ref="A19:K19"/>
  </mergeCells>
  <hyperlinks>
    <hyperlink ref="A11" r:id="rId1" display="http://radius.istekkipalvelut.fi:7779/pls/sigmapub/SIG37.SIGE1033?sAlku=01012016&amp;sLoppu=31122016&amp;iYhteiso=736&amp;sTuotekoodi=367A&amp;iLkm=46&amp;iGo=2&amp;sSlaji=H"/>
    <hyperlink ref="A12" r:id="rId2" display="http://radius.istekkipalvelut.fi:7779/pls/sigmapub/SIG37.SIGE1033?sAlku=01012016&amp;sLoppu=31122016&amp;iYhteiso=736&amp;sTuotekoodi=367A&amp;iLkm=46&amp;iGo=2&amp;sSlaji=KL"/>
    <hyperlink ref="A13" r:id="rId3" display="http://radius.istekkipalvelut.fi:7779/pls/sigmapub/SIG37.SIGE1033?sAlku=01012016&amp;sLoppu=31122016&amp;iYhteiso=736&amp;sTuotekoodi=367A&amp;iLkm=46&amp;iGo=2&amp;sSlaji=M"/>
    <hyperlink ref="A14" r:id="rId4" display="http://radius.istekkipalvelut.fi:7779/pls/sigmapub/SIG37.SIGE1033?sAlku=01012016&amp;sLoppu=31122016&amp;iYhteiso=736&amp;sTuotekoodi=367A&amp;iLkm=46&amp;iGo=2&amp;sSlaji=S"/>
    <hyperlink ref="A15" r:id="rId5" display="http://radius.istekkipalvelut.fi:7779/pls/sigmapub/SIG37.SIGE1033?sAlku=01012016&amp;sLoppu=31122016&amp;iYhteiso=736&amp;sTuotekoodi=367A&amp;iLkm=46&amp;iGo=2&amp;sSlaji=TP"/>
    <hyperlink ref="A16" r:id="rId6" display="http://radius.istekkipalvelut.fi:7779/pls/sigmapub/SIG37.SIGE1033?sAlku=01012016&amp;sLoppu=31122016&amp;iYhteiso=736&amp;sTuotekoodi=367A&amp;iLkm=46&amp;iGo=2&amp;sSlaji=UA"/>
    <hyperlink ref="A17" r:id="rId7" display="http://radius.istekkipalvelut.fi:7779/pls/sigmapub/SIG37.SIGE1033?sAlku=01012016&amp;sLoppu=31122016&amp;iYhteiso=736&amp;sTuotekoodi=367A&amp;iLkm=46&amp;iGo=2&amp;sSlaji=Z"/>
    <hyperlink ref="A20" r:id="rId8" display="http://radius.istekkipalvelut.fi:7779/pls/sigmapub/SIG37.SIGE1033?sAlku=01012016&amp;sLoppu=31122016&amp;iYhteiso=736&amp;sTuotekoodi=367A&amp;iLkm=46&amp;iGo=2&amp;sSlaji=B"/>
    <hyperlink ref="A21" r:id="rId9" display="http://radius.istekkipalvelut.fi:7779/pls/sigmapub/SIG37.SIGE1033?sAlku=01012016&amp;sLoppu=31122016&amp;iYhteiso=736&amp;sTuotekoodi=367A&amp;iLkm=46&amp;iGo=2&amp;sSlaji=F"/>
    <hyperlink ref="A22" r:id="rId10" display="http://radius.istekkipalvelut.fi:7779/pls/sigmapub/SIG37.SIGE1033?sAlku=01012016&amp;sLoppu=31122016&amp;iYhteiso=736&amp;sTuotekoodi=367A&amp;iLkm=46&amp;iGo=2&amp;sSlaji=G"/>
    <hyperlink ref="A23" r:id="rId11" display="http://radius.istekkipalvelut.fi:7779/pls/sigmapub/SIG37.SIGE1033?sAlku=01012016&amp;sLoppu=31122016&amp;iYhteiso=736&amp;sTuotekoodi=367A&amp;iLkm=46&amp;iGo=2&amp;sSlaji=K"/>
    <hyperlink ref="A24" r:id="rId12" display="http://radius.istekkipalvelut.fi:7779/pls/sigmapub/SIG37.SIGE1033?sAlku=01012016&amp;sLoppu=31122016&amp;iYhteiso=736&amp;sTuotekoodi=367A&amp;iLkm=46&amp;iGo=2&amp;sSlaji=L"/>
    <hyperlink ref="A25" r:id="rId13" display="http://radius.istekkipalvelut.fi:7779/pls/sigmapub/SIG37.SIGE1033?sAlku=01012016&amp;sLoppu=31122016&amp;iYhteiso=736&amp;sTuotekoodi=367A&amp;iLkm=46&amp;iGo=2&amp;sSlaji=O"/>
    <hyperlink ref="A26" r:id="rId14" display="http://radius.istekkipalvelut.fi:7779/pls/sigmapub/SIG37.SIGE1033?sAlku=01012016&amp;sLoppu=31122016&amp;iYhteiso=736&amp;sTuotekoodi=367A&amp;iLkm=46&amp;iGo=2&amp;sSlaji=R"/>
    <hyperlink ref="A27" r:id="rId15" display="http://radius.istekkipalvelut.fi:7779/pls/sigmapub/SIG37.SIGE1033?sAlku=01012016&amp;sLoppu=31122016&amp;iYhteiso=736&amp;sTuotekoodi=367A&amp;iLkm=46&amp;iGo=2&amp;sSlaji=V"/>
    <hyperlink ref="M11" r:id="rId16" display="http://radius.istekkipalvelut.fi:7779/pls/sigmapub/SIG37.SIGE1033?sAlku=01012016&amp;sLoppu=31122016&amp;iYhteiso=736&amp;sTuotekoodi=366&amp;iLkm=76&amp;iGo=2&amp;sSlaji=H"/>
    <hyperlink ref="M12" r:id="rId17" display="http://radius.istekkipalvelut.fi:7779/pls/sigmapub/SIG37.SIGE1033?sAlku=01012016&amp;sLoppu=31122016&amp;iYhteiso=736&amp;sTuotekoodi=366&amp;iLkm=76&amp;iGo=2&amp;sSlaji=K"/>
    <hyperlink ref="M13" r:id="rId18" display="http://radius.istekkipalvelut.fi:7779/pls/sigmapub/SIG37.SIGE1033?sAlku=01012016&amp;sLoppu=31122016&amp;iYhteiso=736&amp;sTuotekoodi=366&amp;iLkm=76&amp;iGo=2&amp;sSlaji=KL"/>
    <hyperlink ref="M14" r:id="rId19" display="http://radius.istekkipalvelut.fi:7779/pls/sigmapub/SIG37.SIGE1033?sAlku=01012016&amp;sLoppu=31122016&amp;iYhteiso=736&amp;sTuotekoodi=366&amp;iLkm=76&amp;iGo=2&amp;sSlaji=M"/>
    <hyperlink ref="M15" r:id="rId20" display="http://radius.istekkipalvelut.fi:7779/pls/sigmapub/SIG37.SIGE1033?sAlku=01012016&amp;sLoppu=31122016&amp;iYhteiso=736&amp;sTuotekoodi=366&amp;iLkm=76&amp;iGo=2&amp;sSlaji=P"/>
    <hyperlink ref="M16" r:id="rId21" display="http://radius.istekkipalvelut.fi:7779/pls/sigmapub/SIG37.SIGE1033?sAlku=01012016&amp;sLoppu=31122016&amp;iYhteiso=736&amp;sTuotekoodi=366&amp;iLkm=76&amp;iGo=2&amp;sSlaji=PT"/>
    <hyperlink ref="M17" r:id="rId22" display="http://radius.istekkipalvelut.fi:7779/pls/sigmapub/SIG37.SIGE1033?sAlku=01012016&amp;sLoppu=31122016&amp;iYhteiso=736&amp;sTuotekoodi=366&amp;iLkm=76&amp;iGo=2&amp;sSlaji=S"/>
    <hyperlink ref="M18" r:id="rId23" display="http://radius.istekkipalvelut.fi:7779/pls/sigmapub/SIG37.SIGE1033?sAlku=01012016&amp;sLoppu=31122016&amp;iYhteiso=736&amp;sTuotekoodi=366&amp;iLkm=76&amp;iGo=2&amp;sSlaji=TA"/>
    <hyperlink ref="M19" r:id="rId24" display="http://radius.istekkipalvelut.fi:7779/pls/sigmapub/SIG37.SIGE1033?sAlku=01012016&amp;sLoppu=31122016&amp;iYhteiso=736&amp;sTuotekoodi=366&amp;iLkm=76&amp;iGo=2&amp;sSlaji=TP"/>
    <hyperlink ref="M20" r:id="rId25" display="http://radius.istekkipalvelut.fi:7779/pls/sigmapub/SIG37.SIGE1033?sAlku=01012016&amp;sLoppu=31122016&amp;iYhteiso=736&amp;sTuotekoodi=366&amp;iLkm=76&amp;iGo=2&amp;sSlaji=UA"/>
    <hyperlink ref="M23" r:id="rId26" display="http://radius.istekkipalvelut.fi:7779/pls/sigmapub/SIG37.SIGE1033?sAlku=01012016&amp;sLoppu=31122016&amp;iYhteiso=736&amp;sTuotekoodi=366&amp;iLkm=76&amp;iGo=2&amp;sSlaji=B"/>
    <hyperlink ref="M24" r:id="rId27" display="http://radius.istekkipalvelut.fi:7779/pls/sigmapub/SIG37.SIGE1033?sAlku=01012016&amp;sLoppu=31122016&amp;iYhteiso=736&amp;sTuotekoodi=366&amp;iLkm=76&amp;iGo=2&amp;sSlaji=C"/>
    <hyperlink ref="M25" r:id="rId28" display="http://radius.istekkipalvelut.fi:7779/pls/sigmapub/SIG37.SIGE1033?sAlku=01012016&amp;sLoppu=31122016&amp;iYhteiso=736&amp;sTuotekoodi=366&amp;iLkm=76&amp;iGo=2&amp;sSlaji=F"/>
    <hyperlink ref="M26" r:id="rId29" display="http://radius.istekkipalvelut.fi:7779/pls/sigmapub/SIG37.SIGE1033?sAlku=01012016&amp;sLoppu=31122016&amp;iYhteiso=736&amp;sTuotekoodi=366&amp;iLkm=76&amp;iGo=2&amp;sSlaji=G"/>
    <hyperlink ref="M27" r:id="rId30" display="http://radius.istekkipalvelut.fi:7779/pls/sigmapub/SIG37.SIGE1033?sAlku=01012016&amp;sLoppu=31122016&amp;iYhteiso=736&amp;sTuotekoodi=366&amp;iLkm=76&amp;iGo=2&amp;sSlaji=I"/>
    <hyperlink ref="M28" r:id="rId31" display="http://radius.istekkipalvelut.fi:7779/pls/sigmapub/SIG37.SIGE1033?sAlku=01012016&amp;sLoppu=31122016&amp;iYhteiso=736&amp;sTuotekoodi=366&amp;iLkm=76&amp;iGo=2&amp;sSlaji=K"/>
    <hyperlink ref="M29" r:id="rId32" display="http://radius.istekkipalvelut.fi:7779/pls/sigmapub/SIG37.SIGE1033?sAlku=01012016&amp;sLoppu=31122016&amp;iYhteiso=736&amp;sTuotekoodi=366&amp;iLkm=76&amp;iGo=2&amp;sSlaji=L"/>
    <hyperlink ref="M30" r:id="rId33" display="http://radius.istekkipalvelut.fi:7779/pls/sigmapub/SIG37.SIGE1033?sAlku=01012016&amp;sLoppu=31122016&amp;iYhteiso=736&amp;sTuotekoodi=366&amp;iLkm=76&amp;iGo=2&amp;sSlaji=M"/>
    <hyperlink ref="M31" r:id="rId34" display="http://radius.istekkipalvelut.fi:7779/pls/sigmapub/SIG37.SIGE1033?sAlku=01012016&amp;sLoppu=31122016&amp;iYhteiso=736&amp;sTuotekoodi=366&amp;iLkm=76&amp;iGo=2&amp;sSlaji=O"/>
    <hyperlink ref="M32" r:id="rId35" display="http://radius.istekkipalvelut.fi:7779/pls/sigmapub/SIG37.SIGE1033?sAlku=01012016&amp;sLoppu=31122016&amp;iYhteiso=736&amp;sTuotekoodi=366&amp;iLkm=76&amp;iGo=2&amp;sSlaji=P"/>
    <hyperlink ref="M33" r:id="rId36" display="http://radius.istekkipalvelut.fi:7779/pls/sigmapub/SIG37.SIGE1033?sAlku=01012016&amp;sLoppu=31122016&amp;iYhteiso=736&amp;sTuotekoodi=366&amp;iLkm=76&amp;iGo=2&amp;sSlaji=PT"/>
    <hyperlink ref="M34" r:id="rId37" display="http://radius.istekkipalvelut.fi:7779/pls/sigmapub/SIG37.SIGE1033?sAlku=01012016&amp;sLoppu=31122016&amp;iYhteiso=736&amp;sTuotekoodi=366&amp;iLkm=76&amp;iGo=2&amp;sSlaji=R"/>
    <hyperlink ref="M35" r:id="rId38" display="http://radius.istekkipalvelut.fi:7779/pls/sigmapub/SIG37.SIGE1033?sAlku=01012016&amp;sLoppu=31122016&amp;iYhteiso=736&amp;sTuotekoodi=366&amp;iLkm=76&amp;iGo=2&amp;sSlaji=V"/>
    <hyperlink ref="M36" r:id="rId39" display="http://radius.istekkipalvelut.fi:7779/pls/sigmapub/SIG37.SIGE1033?sAlku=01012016&amp;sLoppu=31122016&amp;iYhteiso=736&amp;sTuotekoodi=366&amp;iLkm=76&amp;iGo=2&amp;sSlaji=Z"/>
    <hyperlink ref="A51" r:id="rId40" display="http://radius.istekkipalvelut.fi:7779/pls/sigmapub/SIG37.SIGE1033?sAlku=01012016&amp;sLoppu=31122016&amp;iYhteiso=736&amp;sTuotekoodi=353&amp;iLkm=55&amp;iGo=2&amp;sSlaji=H"/>
    <hyperlink ref="A52" r:id="rId41" display="http://radius.istekkipalvelut.fi:7779/pls/sigmapub/SIG37.SIGE1033?sAlku=01012016&amp;sLoppu=31122016&amp;iYhteiso=736&amp;sTuotekoodi=353&amp;iLkm=55&amp;iGo=2&amp;sSlaji=M"/>
    <hyperlink ref="A53" r:id="rId42" display="http://radius.istekkipalvelut.fi:7779/pls/sigmapub/SIG37.SIGE1033?sAlku=01012016&amp;sLoppu=31122016&amp;iYhteiso=736&amp;sTuotekoodi=353&amp;iLkm=55&amp;iGo=2&amp;sSlaji=PT"/>
    <hyperlink ref="A54" r:id="rId43" display="http://radius.istekkipalvelut.fi:7779/pls/sigmapub/SIG37.SIGE1033?sAlku=01012016&amp;sLoppu=31122016&amp;iYhteiso=736&amp;sTuotekoodi=353&amp;iLkm=55&amp;iGo=2&amp;sSlaji=TA"/>
    <hyperlink ref="A55" r:id="rId44" display="http://radius.istekkipalvelut.fi:7779/pls/sigmapub/SIG37.SIGE1033?sAlku=01012016&amp;sLoppu=31122016&amp;iYhteiso=736&amp;sTuotekoodi=353&amp;iLkm=55&amp;iGo=2&amp;sSlaji=TP"/>
    <hyperlink ref="A56" r:id="rId45" display="http://radius.istekkipalvelut.fi:7779/pls/sigmapub/SIG37.SIGE1033?sAlku=01012016&amp;sLoppu=31122016&amp;iYhteiso=736&amp;sTuotekoodi=353&amp;iLkm=55&amp;iGo=2&amp;sSlaji=UA"/>
    <hyperlink ref="A59" r:id="rId46" display="http://radius.istekkipalvelut.fi:7779/pls/sigmapub/SIG37.SIGE1033?sAlku=01012016&amp;sLoppu=31122016&amp;iYhteiso=736&amp;sTuotekoodi=353&amp;iLkm=55&amp;iGo=2&amp;sSlaji=B"/>
    <hyperlink ref="A60" r:id="rId47" display="http://radius.istekkipalvelut.fi:7779/pls/sigmapub/SIG37.SIGE1033?sAlku=01012016&amp;sLoppu=31122016&amp;iYhteiso=736&amp;sTuotekoodi=353&amp;iLkm=55&amp;iGo=2&amp;sSlaji=C"/>
    <hyperlink ref="A61" r:id="rId48" display="http://radius.istekkipalvelut.fi:7779/pls/sigmapub/SIG37.SIGE1033?sAlku=01012016&amp;sLoppu=31122016&amp;iYhteiso=736&amp;sTuotekoodi=353&amp;iLkm=55&amp;iGo=2&amp;sSlaji=F"/>
    <hyperlink ref="A62" r:id="rId49" display="http://radius.istekkipalvelut.fi:7779/pls/sigmapub/SIG37.SIGE1033?sAlku=01012016&amp;sLoppu=31122016&amp;iYhteiso=736&amp;sTuotekoodi=353&amp;iLkm=55&amp;iGo=2&amp;sSlaji=G"/>
    <hyperlink ref="A63" r:id="rId50" display="http://radius.istekkipalvelut.fi:7779/pls/sigmapub/SIG37.SIGE1033?sAlku=01012016&amp;sLoppu=31122016&amp;iYhteiso=736&amp;sTuotekoodi=353&amp;iLkm=55&amp;iGo=2&amp;sSlaji=H"/>
    <hyperlink ref="A64" r:id="rId51" display="http://radius.istekkipalvelut.fi:7779/pls/sigmapub/SIG37.SIGE1033?sAlku=01012016&amp;sLoppu=31122016&amp;iYhteiso=736&amp;sTuotekoodi=353&amp;iLkm=55&amp;iGo=2&amp;sSlaji=I"/>
    <hyperlink ref="A65" r:id="rId52" display="http://radius.istekkipalvelut.fi:7779/pls/sigmapub/SIG37.SIGE1033?sAlku=01012016&amp;sLoppu=31122016&amp;iYhteiso=736&amp;sTuotekoodi=353&amp;iLkm=55&amp;iGo=2&amp;sSlaji=K"/>
    <hyperlink ref="A66" r:id="rId53" display="http://radius.istekkipalvelut.fi:7779/pls/sigmapub/SIG37.SIGE1033?sAlku=01012016&amp;sLoppu=31122016&amp;iYhteiso=736&amp;sTuotekoodi=353&amp;iLkm=55&amp;iGo=2&amp;sSlaji=L"/>
    <hyperlink ref="A67" r:id="rId54" display="http://radius.istekkipalvelut.fi:7779/pls/sigmapub/SIG37.SIGE1033?sAlku=01012016&amp;sLoppu=31122016&amp;iYhteiso=736&amp;sTuotekoodi=353&amp;iLkm=55&amp;iGo=2&amp;sSlaji=M"/>
    <hyperlink ref="A68" r:id="rId55" display="http://radius.istekkipalvelut.fi:7779/pls/sigmapub/SIG37.SIGE1033?sAlku=01012016&amp;sLoppu=31122016&amp;iYhteiso=736&amp;sTuotekoodi=353&amp;iLkm=55&amp;iGo=2&amp;sSlaji=O"/>
    <hyperlink ref="A69" r:id="rId56" display="http://radius.istekkipalvelut.fi:7779/pls/sigmapub/SIG37.SIGE1033?sAlku=01012016&amp;sLoppu=31122016&amp;iYhteiso=736&amp;sTuotekoodi=353&amp;iLkm=55&amp;iGo=2&amp;sSlaji=P"/>
    <hyperlink ref="A70" r:id="rId57" display="http://radius.istekkipalvelut.fi:7779/pls/sigmapub/SIG37.SIGE1033?sAlku=01012016&amp;sLoppu=31122016&amp;iYhteiso=736&amp;sTuotekoodi=353&amp;iLkm=55&amp;iGo=2&amp;sSlaji=PT"/>
    <hyperlink ref="A71" r:id="rId58" display="http://radius.istekkipalvelut.fi:7779/pls/sigmapub/SIG37.SIGE1033?sAlku=01012016&amp;sLoppu=31122016&amp;iYhteiso=736&amp;sTuotekoodi=353&amp;iLkm=55&amp;iGo=2&amp;sSlaji=R"/>
    <hyperlink ref="A72" r:id="rId59" display="http://radius.istekkipalvelut.fi:7779/pls/sigmapub/SIG37.SIGE1033?sAlku=01012016&amp;sLoppu=31122016&amp;iYhteiso=736&amp;sTuotekoodi=353&amp;iLkm=55&amp;iGo=2&amp;sSlaji=V"/>
    <hyperlink ref="A73" r:id="rId60" display="http://radius.istekkipalvelut.fi:7779/pls/sigmapub/SIG37.SIGE1033?sAlku=01012016&amp;sLoppu=31122016&amp;iYhteiso=736&amp;sTuotekoodi=353&amp;iLkm=55&amp;iGo=2&amp;sSlaji=Z"/>
    <hyperlink ref="M51" r:id="rId61" display="http://radius.istekkipalvelut.fi:7779/pls/sigmapub/SIG37.SIGE1033?sAlku=01012016&amp;sLoppu=31122016&amp;iYhteiso=736&amp;sTuotekoodi=355&amp;iLkm=62&amp;iGo=2&amp;sSlaji=H"/>
    <hyperlink ref="M52" r:id="rId62" display="http://radius.istekkipalvelut.fi:7779/pls/sigmapub/SIG37.SIGE1033?sAlku=01012016&amp;sLoppu=31122016&amp;iYhteiso=736&amp;sTuotekoodi=355&amp;iLkm=62&amp;iGo=2&amp;sSlaji=M"/>
    <hyperlink ref="M53" r:id="rId63" display="http://radius.istekkipalvelut.fi:7779/pls/sigmapub/SIG37.SIGE1033?sAlku=01012016&amp;sLoppu=31122016&amp;iYhteiso=736&amp;sTuotekoodi=355&amp;iLkm=62&amp;iGo=2&amp;sSlaji=TA"/>
    <hyperlink ref="M54" r:id="rId64" display="http://radius.istekkipalvelut.fi:7779/pls/sigmapub/SIG37.SIGE1033?sAlku=01012016&amp;sLoppu=31122016&amp;iYhteiso=736&amp;sTuotekoodi=355&amp;iLkm=62&amp;iGo=2&amp;sSlaji=TP"/>
    <hyperlink ref="M57" r:id="rId65" display="http://radius.istekkipalvelut.fi:7779/pls/sigmapub/SIG37.SIGE1033?sAlku=01012016&amp;sLoppu=31122016&amp;iYhteiso=736&amp;sTuotekoodi=355&amp;iLkm=62&amp;iGo=2&amp;sSlaji=B"/>
    <hyperlink ref="M58" r:id="rId66" display="http://radius.istekkipalvelut.fi:7779/pls/sigmapub/SIG37.SIGE1033?sAlku=01012016&amp;sLoppu=31122016&amp;iYhteiso=736&amp;sTuotekoodi=355&amp;iLkm=62&amp;iGo=2&amp;sSlaji=D"/>
    <hyperlink ref="M59" r:id="rId67" display="http://radius.istekkipalvelut.fi:7779/pls/sigmapub/SIG37.SIGE1033?sAlku=01012016&amp;sLoppu=31122016&amp;iYhteiso=736&amp;sTuotekoodi=355&amp;iLkm=62&amp;iGo=2&amp;sSlaji=F"/>
    <hyperlink ref="M60" r:id="rId68" display="http://radius.istekkipalvelut.fi:7779/pls/sigmapub/SIG37.SIGE1033?sAlku=01012016&amp;sLoppu=31122016&amp;iYhteiso=736&amp;sTuotekoodi=355&amp;iLkm=62&amp;iGo=2&amp;sSlaji=H"/>
    <hyperlink ref="M61" r:id="rId69" display="http://radius.istekkipalvelut.fi:7779/pls/sigmapub/SIG37.SIGE1033?sAlku=01012016&amp;sLoppu=31122016&amp;iYhteiso=736&amp;sTuotekoodi=355&amp;iLkm=62&amp;iGo=2&amp;sSlaji=L"/>
    <hyperlink ref="M62" r:id="rId70" display="http://radius.istekkipalvelut.fi:7779/pls/sigmapub/SIG37.SIGE1033?sAlku=01012016&amp;sLoppu=31122016&amp;iYhteiso=736&amp;sTuotekoodi=355&amp;iLkm=62&amp;iGo=2&amp;sSlaji=M"/>
    <hyperlink ref="M63" r:id="rId71" display="http://radius.istekkipalvelut.fi:7779/pls/sigmapub/SIG37.SIGE1033?sAlku=01012016&amp;sLoppu=31122016&amp;iYhteiso=736&amp;sTuotekoodi=355&amp;iLkm=62&amp;iGo=2&amp;sSlaji=O"/>
    <hyperlink ref="M64" r:id="rId72" display="http://radius.istekkipalvelut.fi:7779/pls/sigmapub/SIG37.SIGE1033?sAlku=01012016&amp;sLoppu=31122016&amp;iYhteiso=736&amp;sTuotekoodi=355&amp;iLkm=62&amp;iGo=2&amp;sSlaji=R"/>
    <hyperlink ref="M65" r:id="rId73" display="http://radius.istekkipalvelut.fi:7779/pls/sigmapub/SIG37.SIGE1033?sAlku=01012016&amp;sLoppu=31122016&amp;iYhteiso=736&amp;sTuotekoodi=355&amp;iLkm=62&amp;iGo=2&amp;sSlaji=V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2</vt:i4>
      </vt:variant>
    </vt:vector>
  </HeadingPairs>
  <TitlesOfParts>
    <vt:vector size="7" baseType="lpstr">
      <vt:lpstr>Taul1</vt:lpstr>
      <vt:lpstr>Taul2</vt:lpstr>
      <vt:lpstr>Taul3</vt:lpstr>
      <vt:lpstr>Taul4</vt:lpstr>
      <vt:lpstr>Taul5</vt:lpstr>
      <vt:lpstr>Taul1!Tulostusalue</vt:lpstr>
      <vt:lpstr>Taul1!Tulostusotsikot</vt:lpstr>
    </vt:vector>
  </TitlesOfParts>
  <Company>PSSHP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Kauppinen Marja-Leena</cp:lastModifiedBy>
  <cp:lastPrinted>2017-10-09T11:57:00Z</cp:lastPrinted>
  <dcterms:created xsi:type="dcterms:W3CDTF">2017-08-21T05:57:18Z</dcterms:created>
  <dcterms:modified xsi:type="dcterms:W3CDTF">2017-10-10T05:51:27Z</dcterms:modified>
</cp:coreProperties>
</file>