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ata\user\talousarvio\2020\muutos 1\"/>
    </mc:Choice>
  </mc:AlternateContent>
  <bookViews>
    <workbookView xWindow="0" yWindow="0" windowWidth="25200" windowHeight="1035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19" i="1"/>
  <c r="P24" i="1" l="1"/>
  <c r="P54" i="1" s="1"/>
  <c r="O24" i="1"/>
  <c r="O54" i="1" s="1"/>
  <c r="P23" i="1"/>
  <c r="P53" i="1" s="1"/>
  <c r="O23" i="1"/>
  <c r="O53" i="1" s="1"/>
  <c r="P22" i="1"/>
  <c r="P52" i="1" s="1"/>
  <c r="O22" i="1"/>
  <c r="O52" i="1" s="1"/>
  <c r="P21" i="1"/>
  <c r="P51" i="1" s="1"/>
  <c r="O21" i="1"/>
  <c r="O51" i="1" s="1"/>
  <c r="P20" i="1"/>
  <c r="P50" i="1" s="1"/>
  <c r="O20" i="1"/>
  <c r="O50" i="1" s="1"/>
  <c r="P19" i="1"/>
  <c r="P49" i="1" s="1"/>
  <c r="O19" i="1"/>
  <c r="O49" i="1" s="1"/>
  <c r="P18" i="1"/>
  <c r="P48" i="1" s="1"/>
  <c r="O18" i="1"/>
  <c r="O7" i="1"/>
  <c r="O37" i="1" s="1"/>
  <c r="P7" i="1"/>
  <c r="P37" i="1" s="1"/>
  <c r="O8" i="1"/>
  <c r="O38" i="1" s="1"/>
  <c r="P8" i="1"/>
  <c r="P38" i="1" s="1"/>
  <c r="O9" i="1"/>
  <c r="O39" i="1" s="1"/>
  <c r="P9" i="1"/>
  <c r="P39" i="1" s="1"/>
  <c r="O10" i="1"/>
  <c r="O40" i="1" s="1"/>
  <c r="P10" i="1"/>
  <c r="P40" i="1" s="1"/>
  <c r="O11" i="1"/>
  <c r="O41" i="1" s="1"/>
  <c r="P11" i="1"/>
  <c r="P41" i="1" s="1"/>
  <c r="O12" i="1"/>
  <c r="O42" i="1" s="1"/>
  <c r="P12" i="1"/>
  <c r="P42" i="1" s="1"/>
  <c r="O13" i="1"/>
  <c r="O43" i="1" s="1"/>
  <c r="P13" i="1"/>
  <c r="P43" i="1" s="1"/>
  <c r="O14" i="1"/>
  <c r="O44" i="1" s="1"/>
  <c r="P14" i="1"/>
  <c r="P44" i="1" s="1"/>
  <c r="P6" i="1"/>
  <c r="O6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M37" i="1"/>
  <c r="N37" i="1"/>
  <c r="M38" i="1"/>
  <c r="N38" i="1"/>
  <c r="M39" i="1"/>
  <c r="N39" i="1"/>
  <c r="M40" i="1"/>
  <c r="N40" i="1"/>
  <c r="M41" i="1"/>
  <c r="N41" i="1"/>
  <c r="M42" i="1"/>
  <c r="N42" i="1"/>
  <c r="M43" i="1"/>
  <c r="N43" i="1"/>
  <c r="M44" i="1"/>
  <c r="N44" i="1"/>
  <c r="N36" i="1"/>
  <c r="M36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L35" i="1" s="1"/>
  <c r="K36" i="1"/>
  <c r="J53" i="1"/>
  <c r="J52" i="1"/>
  <c r="J51" i="1"/>
  <c r="J50" i="1"/>
  <c r="I50" i="1"/>
  <c r="J49" i="1"/>
  <c r="J48" i="1"/>
  <c r="J37" i="1"/>
  <c r="J38" i="1"/>
  <c r="J39" i="1"/>
  <c r="J41" i="1"/>
  <c r="J42" i="1"/>
  <c r="I43" i="1"/>
  <c r="J43" i="1"/>
  <c r="J44" i="1"/>
  <c r="J36" i="1"/>
  <c r="H49" i="1"/>
  <c r="H50" i="1"/>
  <c r="H51" i="1"/>
  <c r="H52" i="1"/>
  <c r="H53" i="1"/>
  <c r="H54" i="1"/>
  <c r="H48" i="1"/>
  <c r="G37" i="1"/>
  <c r="H37" i="1"/>
  <c r="G38" i="1"/>
  <c r="H38" i="1"/>
  <c r="G39" i="1"/>
  <c r="H39" i="1"/>
  <c r="H41" i="1"/>
  <c r="H42" i="1"/>
  <c r="G43" i="1"/>
  <c r="H43" i="1"/>
  <c r="H44" i="1"/>
  <c r="E48" i="1"/>
  <c r="D38" i="1"/>
  <c r="E38" i="1"/>
  <c r="D43" i="1"/>
  <c r="D36" i="1"/>
  <c r="I27" i="1"/>
  <c r="I23" i="1"/>
  <c r="I53" i="1" s="1"/>
  <c r="I22" i="1"/>
  <c r="I52" i="1" s="1"/>
  <c r="I21" i="1"/>
  <c r="I51" i="1" s="1"/>
  <c r="I49" i="1"/>
  <c r="L47" i="1" l="1"/>
  <c r="P5" i="1"/>
  <c r="K47" i="1"/>
  <c r="P47" i="1"/>
  <c r="P17" i="1"/>
  <c r="P36" i="1"/>
  <c r="P35" i="1" s="1"/>
  <c r="K35" i="1"/>
  <c r="P28" i="1" l="1"/>
  <c r="S18" i="1"/>
  <c r="S48" i="1" s="1"/>
  <c r="J24" i="1"/>
  <c r="J54" i="1" s="1"/>
  <c r="I18" i="1"/>
  <c r="I48" i="1" s="1"/>
  <c r="I14" i="1"/>
  <c r="I44" i="1" s="1"/>
  <c r="I24" i="1"/>
  <c r="I54" i="1" s="1"/>
  <c r="I10" i="1"/>
  <c r="I40" i="1" s="1"/>
  <c r="I12" i="1"/>
  <c r="I42" i="1" s="1"/>
  <c r="I11" i="1"/>
  <c r="I41" i="1" s="1"/>
  <c r="I9" i="1"/>
  <c r="I39" i="1" s="1"/>
  <c r="I8" i="1"/>
  <c r="I38" i="1" s="1"/>
  <c r="I7" i="1"/>
  <c r="I37" i="1" s="1"/>
  <c r="I6" i="1"/>
  <c r="I36" i="1" s="1"/>
  <c r="J10" i="1" l="1"/>
  <c r="J40" i="1" s="1"/>
  <c r="R8" i="1" l="1"/>
  <c r="R38" i="1" s="1"/>
  <c r="S8" i="1"/>
  <c r="S38" i="1" s="1"/>
  <c r="R13" i="1"/>
  <c r="R43" i="1" s="1"/>
  <c r="T8" i="1" l="1"/>
  <c r="T38" i="1" s="1"/>
  <c r="K17" i="1"/>
  <c r="L17" i="1"/>
  <c r="K5" i="1"/>
  <c r="L5" i="1"/>
  <c r="L28" i="1" l="1"/>
  <c r="K28" i="1"/>
  <c r="G14" i="1" l="1"/>
  <c r="G44" i="1" l="1"/>
  <c r="G22" i="1"/>
  <c r="G18" i="1"/>
  <c r="G24" i="1"/>
  <c r="G23" i="1"/>
  <c r="G12" i="1"/>
  <c r="H6" i="1"/>
  <c r="H36" i="1" s="1"/>
  <c r="G6" i="1"/>
  <c r="G36" i="1" s="1"/>
  <c r="G21" i="1"/>
  <c r="G20" i="1"/>
  <c r="G19" i="1"/>
  <c r="G11" i="1"/>
  <c r="H10" i="1"/>
  <c r="H40" i="1" s="1"/>
  <c r="G10" i="1"/>
  <c r="D24" i="1"/>
  <c r="D54" i="1" s="1"/>
  <c r="E24" i="1"/>
  <c r="D23" i="1"/>
  <c r="E23" i="1"/>
  <c r="D22" i="1"/>
  <c r="E22" i="1"/>
  <c r="D21" i="1"/>
  <c r="E21" i="1"/>
  <c r="F21" i="1" s="1"/>
  <c r="F51" i="1" s="1"/>
  <c r="D20" i="1"/>
  <c r="E20" i="1"/>
  <c r="E14" i="1"/>
  <c r="D14" i="1"/>
  <c r="D19" i="1"/>
  <c r="E19" i="1"/>
  <c r="F22" i="1"/>
  <c r="F52" i="1" s="1"/>
  <c r="D18" i="1"/>
  <c r="F18" i="1"/>
  <c r="F48" i="1" s="1"/>
  <c r="E13" i="1"/>
  <c r="E43" i="1" s="1"/>
  <c r="E12" i="1"/>
  <c r="D12" i="1"/>
  <c r="D11" i="1"/>
  <c r="E11" i="1"/>
  <c r="E10" i="1"/>
  <c r="F10" i="1" s="1"/>
  <c r="F40" i="1" s="1"/>
  <c r="D10" i="1"/>
  <c r="D9" i="1"/>
  <c r="E9" i="1"/>
  <c r="F8" i="1"/>
  <c r="F38" i="1" s="1"/>
  <c r="D7" i="1"/>
  <c r="E7" i="1"/>
  <c r="E6" i="1"/>
  <c r="F14" i="1" l="1"/>
  <c r="F44" i="1" s="1"/>
  <c r="S21" i="1"/>
  <c r="S51" i="1" s="1"/>
  <c r="E51" i="1"/>
  <c r="G40" i="1"/>
  <c r="G42" i="1"/>
  <c r="S7" i="1"/>
  <c r="E37" i="1"/>
  <c r="S9" i="1"/>
  <c r="S39" i="1" s="1"/>
  <c r="E39" i="1"/>
  <c r="R12" i="1"/>
  <c r="R42" i="1" s="1"/>
  <c r="D42" i="1"/>
  <c r="R21" i="1"/>
  <c r="R51" i="1" s="1"/>
  <c r="D51" i="1"/>
  <c r="F7" i="1"/>
  <c r="F37" i="1" s="1"/>
  <c r="S11" i="1"/>
  <c r="S41" i="1" s="1"/>
  <c r="E41" i="1"/>
  <c r="R14" i="1"/>
  <c r="R44" i="1" s="1"/>
  <c r="D44" i="1"/>
  <c r="R20" i="1"/>
  <c r="R50" i="1" s="1"/>
  <c r="D50" i="1"/>
  <c r="R22" i="1"/>
  <c r="R52" i="1" s="1"/>
  <c r="D52" i="1"/>
  <c r="G49" i="1"/>
  <c r="O48" i="1"/>
  <c r="O47" i="1" s="1"/>
  <c r="G48" i="1"/>
  <c r="S6" i="1"/>
  <c r="S36" i="1" s="1"/>
  <c r="E36" i="1"/>
  <c r="R11" i="1"/>
  <c r="R41" i="1" s="1"/>
  <c r="D41" i="1"/>
  <c r="S14" i="1"/>
  <c r="S44" i="1" s="1"/>
  <c r="E44" i="1"/>
  <c r="S23" i="1"/>
  <c r="S53" i="1" s="1"/>
  <c r="E53" i="1"/>
  <c r="G50" i="1"/>
  <c r="G52" i="1"/>
  <c r="R10" i="1"/>
  <c r="R40" i="1" s="1"/>
  <c r="D40" i="1"/>
  <c r="R18" i="1"/>
  <c r="D48" i="1"/>
  <c r="S19" i="1"/>
  <c r="S49" i="1" s="1"/>
  <c r="E49" i="1"/>
  <c r="S20" i="1"/>
  <c r="S50" i="1" s="1"/>
  <c r="E50" i="1"/>
  <c r="R23" i="1"/>
  <c r="R53" i="1" s="1"/>
  <c r="D53" i="1"/>
  <c r="G51" i="1"/>
  <c r="G53" i="1"/>
  <c r="R7" i="1"/>
  <c r="R37" i="1" s="1"/>
  <c r="D37" i="1"/>
  <c r="R9" i="1"/>
  <c r="R39" i="1" s="1"/>
  <c r="D39" i="1"/>
  <c r="S10" i="1"/>
  <c r="S40" i="1" s="1"/>
  <c r="E40" i="1"/>
  <c r="S12" i="1"/>
  <c r="S42" i="1" s="1"/>
  <c r="E42" i="1"/>
  <c r="F23" i="1"/>
  <c r="F53" i="1" s="1"/>
  <c r="R19" i="1"/>
  <c r="R49" i="1" s="1"/>
  <c r="D49" i="1"/>
  <c r="F20" i="1"/>
  <c r="F50" i="1" s="1"/>
  <c r="S22" i="1"/>
  <c r="E52" i="1"/>
  <c r="S24" i="1"/>
  <c r="S54" i="1" s="1"/>
  <c r="E54" i="1"/>
  <c r="G41" i="1"/>
  <c r="G54" i="1"/>
  <c r="R24" i="1"/>
  <c r="R54" i="1" s="1"/>
  <c r="F12" i="1"/>
  <c r="F42" i="1" s="1"/>
  <c r="F24" i="1"/>
  <c r="F54" i="1" s="1"/>
  <c r="F19" i="1"/>
  <c r="R6" i="1"/>
  <c r="O36" i="1"/>
  <c r="F6" i="1"/>
  <c r="G17" i="1"/>
  <c r="F9" i="1"/>
  <c r="F39" i="1" s="1"/>
  <c r="F11" i="1"/>
  <c r="F41" i="1" s="1"/>
  <c r="F13" i="1"/>
  <c r="F43" i="1" s="1"/>
  <c r="S13" i="1"/>
  <c r="I47" i="1"/>
  <c r="H47" i="1"/>
  <c r="J35" i="1"/>
  <c r="I35" i="1"/>
  <c r="O17" i="1"/>
  <c r="J17" i="1"/>
  <c r="I17" i="1"/>
  <c r="H17" i="1"/>
  <c r="E17" i="1"/>
  <c r="D17" i="1"/>
  <c r="J5" i="1"/>
  <c r="I5" i="1"/>
  <c r="H5" i="1"/>
  <c r="G5" i="1"/>
  <c r="E5" i="1"/>
  <c r="D5" i="1"/>
  <c r="T21" i="1" l="1"/>
  <c r="T51" i="1" s="1"/>
  <c r="T10" i="1"/>
  <c r="T40" i="1" s="1"/>
  <c r="T9" i="1"/>
  <c r="T39" i="1" s="1"/>
  <c r="T14" i="1"/>
  <c r="T44" i="1" s="1"/>
  <c r="T23" i="1"/>
  <c r="T53" i="1" s="1"/>
  <c r="O35" i="1"/>
  <c r="T13" i="1"/>
  <c r="T43" i="1" s="1"/>
  <c r="S43" i="1"/>
  <c r="F17" i="1"/>
  <c r="F49" i="1"/>
  <c r="F47" i="1" s="1"/>
  <c r="T7" i="1"/>
  <c r="T37" i="1" s="1"/>
  <c r="S37" i="1"/>
  <c r="O5" i="1"/>
  <c r="O28" i="1" s="1"/>
  <c r="T19" i="1"/>
  <c r="F5" i="1"/>
  <c r="F36" i="1"/>
  <c r="F35" i="1"/>
  <c r="T6" i="1"/>
  <c r="R36" i="1"/>
  <c r="T22" i="1"/>
  <c r="T52" i="1" s="1"/>
  <c r="S52" i="1"/>
  <c r="T18" i="1"/>
  <c r="T48" i="1" s="1"/>
  <c r="R48" i="1"/>
  <c r="T20" i="1"/>
  <c r="T50" i="1" s="1"/>
  <c r="T11" i="1"/>
  <c r="T41" i="1" s="1"/>
  <c r="T24" i="1"/>
  <c r="T54" i="1" s="1"/>
  <c r="T12" i="1"/>
  <c r="T42" i="1" s="1"/>
  <c r="D28" i="1"/>
  <c r="I28" i="1"/>
  <c r="H35" i="1"/>
  <c r="E47" i="1"/>
  <c r="J47" i="1"/>
  <c r="H28" i="1"/>
  <c r="G47" i="1"/>
  <c r="E28" i="1"/>
  <c r="J28" i="1"/>
  <c r="G28" i="1"/>
  <c r="D35" i="1"/>
  <c r="G35" i="1"/>
  <c r="E35" i="1"/>
  <c r="D47" i="1"/>
  <c r="F28" i="1" l="1"/>
  <c r="T5" i="1"/>
  <c r="T36" i="1"/>
  <c r="T35" i="1" s="1"/>
  <c r="T17" i="1"/>
  <c r="T49" i="1"/>
  <c r="T47" i="1" s="1"/>
  <c r="N47" i="1"/>
  <c r="M5" i="1"/>
  <c r="M17" i="1"/>
  <c r="N17" i="1"/>
  <c r="T28" i="1" l="1"/>
  <c r="R47" i="1"/>
  <c r="R17" i="1"/>
  <c r="M35" i="1"/>
  <c r="M47" i="1"/>
  <c r="S17" i="1"/>
  <c r="S47" i="1"/>
  <c r="R5" i="1"/>
  <c r="R35" i="1"/>
  <c r="N35" i="1"/>
  <c r="N5" i="1"/>
  <c r="N28" i="1" s="1"/>
  <c r="M28" i="1"/>
  <c r="N27" i="1" l="1"/>
  <c r="R28" i="1"/>
  <c r="S5" i="1"/>
  <c r="S28" i="1" s="1"/>
  <c r="S35" i="1"/>
</calcChain>
</file>

<file path=xl/sharedStrings.xml><?xml version="1.0" encoding="utf-8"?>
<sst xmlns="http://schemas.openxmlformats.org/spreadsheetml/2006/main" count="99" uniqueCount="47">
  <si>
    <t xml:space="preserve">Alkuperäinen </t>
  </si>
  <si>
    <t>Muutokset</t>
  </si>
  <si>
    <t>muutos</t>
  </si>
  <si>
    <t>SA01</t>
  </si>
  <si>
    <t>PK010</t>
  </si>
  <si>
    <t>PK020</t>
  </si>
  <si>
    <t>PK030</t>
  </si>
  <si>
    <t>PK040</t>
  </si>
  <si>
    <t>PK050</t>
  </si>
  <si>
    <t>PK060</t>
  </si>
  <si>
    <t>PK070</t>
  </si>
  <si>
    <t>PK080</t>
  </si>
  <si>
    <t>PK090</t>
  </si>
  <si>
    <t>SA10</t>
  </si>
  <si>
    <t>PK100</t>
  </si>
  <si>
    <t>PK110</t>
  </si>
  <si>
    <t>PK120</t>
  </si>
  <si>
    <t>PK130</t>
  </si>
  <si>
    <t>PK140</t>
  </si>
  <si>
    <t>PK150</t>
  </si>
  <si>
    <t>PK160</t>
  </si>
  <si>
    <t>Hallintokeskus</t>
  </si>
  <si>
    <t>Sairaalan hallinto</t>
  </si>
  <si>
    <t>Taseyksiköt</t>
  </si>
  <si>
    <t>Operatiivinen keskus</t>
  </si>
  <si>
    <t>Lääkinnälliset palvelut</t>
  </si>
  <si>
    <t>Mielenterveys ja hyvinvointi</t>
  </si>
  <si>
    <t>Akuutti</t>
  </si>
  <si>
    <t>Hoitotyön palveluyksikkö</t>
  </si>
  <si>
    <t xml:space="preserve">Hallitusta sitovat tavoitteet </t>
  </si>
  <si>
    <t>KYS-tason valtuustoa sitovat kokonaismeno- ja tulotavoitteet eivät muutu.</t>
  </si>
  <si>
    <t xml:space="preserve">KYS-tason tuloslaskelman ja rahoituslaskelman rivien välillä tapahtuu muutoksia. </t>
  </si>
  <si>
    <t>TA 2020</t>
  </si>
  <si>
    <t>Taloudellisuus ja tehokkuus (1000 €)</t>
  </si>
  <si>
    <t>Kokonaismenot</t>
  </si>
  <si>
    <t>Kokonaistulot</t>
  </si>
  <si>
    <t>MUUTETTU</t>
  </si>
  <si>
    <t>YT</t>
  </si>
  <si>
    <t>Sisäisten erien</t>
  </si>
  <si>
    <t>Hallintosihteerit</t>
  </si>
  <si>
    <t>siirto</t>
  </si>
  <si>
    <t>Kehittämisosaston-</t>
  </si>
  <si>
    <t>hoitajien siirto</t>
  </si>
  <si>
    <t>Kokonais-menot</t>
  </si>
  <si>
    <t>Kokonais-tulot</t>
  </si>
  <si>
    <t>Ylijäämä/ alijäämä</t>
  </si>
  <si>
    <t xml:space="preserve">Kokonaismenot ja -tulot eivät sisällä kauttalaskutusta, mutta sisältävät sisäiset erät.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</si>
</sst>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3" fontId="0" fillId="0" borderId="7" xfId="0" applyNumberFormat="1" applyBorder="1"/>
    <xf numFmtId="3" fontId="0" fillId="0" borderId="5" xfId="0" applyNumberFormat="1" applyBorder="1"/>
    <xf numFmtId="3" fontId="0" fillId="0" borderId="0" xfId="0" applyNumberFormat="1"/>
    <xf numFmtId="3" fontId="1" fillId="0" borderId="7" xfId="0" applyNumberFormat="1" applyFont="1" applyBorder="1"/>
    <xf numFmtId="3" fontId="1" fillId="0" borderId="5" xfId="0" applyNumberFormat="1" applyFont="1" applyBorder="1"/>
    <xf numFmtId="3" fontId="2" fillId="0" borderId="7" xfId="0" applyNumberFormat="1" applyFont="1" applyBorder="1"/>
    <xf numFmtId="3" fontId="2" fillId="0" borderId="5" xfId="0" applyNumberFormat="1" applyFont="1" applyBorder="1"/>
    <xf numFmtId="0" fontId="2" fillId="0" borderId="0" xfId="0" applyFont="1"/>
    <xf numFmtId="3" fontId="2" fillId="0" borderId="0" xfId="0" applyNumberFormat="1" applyFont="1"/>
    <xf numFmtId="3" fontId="0" fillId="0" borderId="10" xfId="0" applyNumberFormat="1" applyBorder="1"/>
    <xf numFmtId="3" fontId="0" fillId="0" borderId="8" xfId="0" applyNumberFormat="1" applyBorder="1"/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7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/>
    <xf numFmtId="3" fontId="0" fillId="2" borderId="7" xfId="0" applyNumberFormat="1" applyFill="1" applyBorder="1"/>
    <xf numFmtId="3" fontId="1" fillId="2" borderId="7" xfId="0" applyNumberFormat="1" applyFont="1" applyFill="1" applyBorder="1"/>
    <xf numFmtId="3" fontId="2" fillId="2" borderId="7" xfId="0" applyNumberFormat="1" applyFont="1" applyFill="1" applyBorder="1"/>
    <xf numFmtId="3" fontId="0" fillId="2" borderId="10" xfId="0" applyNumberFormat="1" applyFill="1" applyBorder="1"/>
    <xf numFmtId="0" fontId="4" fillId="2" borderId="1" xfId="0" applyFont="1" applyFill="1" applyBorder="1"/>
    <xf numFmtId="0" fontId="1" fillId="2" borderId="3" xfId="0" applyFont="1" applyFill="1" applyBorder="1"/>
    <xf numFmtId="0" fontId="0" fillId="3" borderId="5" xfId="0" applyFill="1" applyBorder="1"/>
    <xf numFmtId="0" fontId="0" fillId="3" borderId="0" xfId="0" applyFill="1" applyBorder="1"/>
    <xf numFmtId="0" fontId="1" fillId="3" borderId="5" xfId="0" applyFont="1" applyFill="1" applyBorder="1"/>
    <xf numFmtId="0" fontId="1" fillId="3" borderId="0" xfId="0" applyFont="1" applyFill="1" applyBorder="1"/>
    <xf numFmtId="0" fontId="2" fillId="3" borderId="5" xfId="0" applyFont="1" applyFill="1" applyBorder="1"/>
    <xf numFmtId="0" fontId="2" fillId="3" borderId="0" xfId="0" applyFont="1" applyFill="1" applyBorder="1"/>
    <xf numFmtId="0" fontId="0" fillId="3" borderId="8" xfId="0" applyFill="1" applyBorder="1"/>
    <xf numFmtId="0" fontId="0" fillId="3" borderId="9" xfId="0" applyFill="1" applyBorder="1"/>
    <xf numFmtId="0" fontId="3" fillId="3" borderId="5" xfId="0" applyFont="1" applyFill="1" applyBorder="1"/>
    <xf numFmtId="0" fontId="1" fillId="2" borderId="4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3" fontId="2" fillId="0" borderId="10" xfId="0" applyNumberFormat="1" applyFont="1" applyBorder="1"/>
    <xf numFmtId="3" fontId="2" fillId="0" borderId="8" xfId="0" applyNumberFormat="1" applyFont="1" applyBorder="1"/>
    <xf numFmtId="3" fontId="2" fillId="2" borderId="10" xfId="0" applyNumberFormat="1" applyFont="1" applyFill="1" applyBorder="1"/>
    <xf numFmtId="0" fontId="2" fillId="2" borderId="7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3" fontId="1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/>
    <xf numFmtId="3" fontId="1" fillId="2" borderId="1" xfId="0" applyNumberFormat="1" applyFont="1" applyFill="1" applyBorder="1" applyAlignment="1">
      <alignment horizontal="center"/>
    </xf>
    <xf numFmtId="0" fontId="0" fillId="2" borderId="3" xfId="0" applyFill="1" applyBorder="1" applyAlignment="1"/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abSelected="1" topLeftCell="A29" workbookViewId="0">
      <selection activeCell="F60" sqref="F60"/>
    </sheetView>
  </sheetViews>
  <sheetFormatPr defaultRowHeight="15" x14ac:dyDescent="0.25"/>
  <cols>
    <col min="1" max="1" width="5.7109375" customWidth="1"/>
    <col min="3" max="3" width="17.7109375" customWidth="1"/>
    <col min="4" max="4" width="15.42578125" customWidth="1"/>
    <col min="5" max="5" width="13.42578125" customWidth="1"/>
    <col min="6" max="6" width="15.42578125" customWidth="1"/>
    <col min="7" max="7" width="15.28515625" style="4" hidden="1" customWidth="1"/>
    <col min="8" max="8" width="13.7109375" style="4" hidden="1" customWidth="1"/>
    <col min="9" max="9" width="15.28515625" style="4" hidden="1" customWidth="1"/>
    <col min="10" max="10" width="13.7109375" style="4" hidden="1" customWidth="1"/>
    <col min="11" max="11" width="15.28515625" style="4" hidden="1" customWidth="1"/>
    <col min="12" max="12" width="13.42578125" style="4" hidden="1" customWidth="1"/>
    <col min="13" max="13" width="15.28515625" style="4" hidden="1" customWidth="1"/>
    <col min="14" max="14" width="13.7109375" style="4" hidden="1" customWidth="1"/>
    <col min="15" max="15" width="15.28515625" customWidth="1"/>
    <col min="16" max="16" width="13.7109375" bestFit="1" customWidth="1"/>
    <col min="17" max="17" width="1.42578125" customWidth="1"/>
    <col min="18" max="18" width="15.42578125" customWidth="1"/>
    <col min="19" max="19" width="13.42578125" customWidth="1"/>
    <col min="20" max="20" width="13.7109375" customWidth="1"/>
    <col min="21" max="21" width="1.85546875" customWidth="1"/>
  </cols>
  <sheetData>
    <row r="1" spans="1:20" s="1" customFormat="1" ht="18.75" hidden="1" x14ac:dyDescent="0.3">
      <c r="A1" s="16"/>
      <c r="B1" s="17"/>
      <c r="C1" s="17"/>
      <c r="D1" s="49" t="s">
        <v>0</v>
      </c>
      <c r="E1" s="57"/>
      <c r="F1" s="50"/>
      <c r="G1" s="54" t="s">
        <v>37</v>
      </c>
      <c r="H1" s="55"/>
      <c r="I1" s="54" t="s">
        <v>38</v>
      </c>
      <c r="J1" s="55"/>
      <c r="K1" s="54" t="s">
        <v>41</v>
      </c>
      <c r="L1" s="55"/>
      <c r="M1" s="54" t="s">
        <v>39</v>
      </c>
      <c r="N1" s="55"/>
      <c r="O1" s="49" t="s">
        <v>1</v>
      </c>
      <c r="P1" s="50"/>
      <c r="Q1" s="18"/>
      <c r="R1" s="49" t="s">
        <v>36</v>
      </c>
      <c r="S1" s="57"/>
      <c r="T1" s="50"/>
    </row>
    <row r="2" spans="1:20" s="1" customFormat="1" ht="18.75" hidden="1" x14ac:dyDescent="0.3">
      <c r="A2" s="19"/>
      <c r="B2" s="20"/>
      <c r="C2" s="20"/>
      <c r="D2" s="51" t="s">
        <v>32</v>
      </c>
      <c r="E2" s="56"/>
      <c r="F2" s="52"/>
      <c r="G2" s="47" t="s">
        <v>2</v>
      </c>
      <c r="H2" s="48"/>
      <c r="I2" s="47" t="s">
        <v>2</v>
      </c>
      <c r="J2" s="48"/>
      <c r="K2" s="47" t="s">
        <v>42</v>
      </c>
      <c r="L2" s="48"/>
      <c r="M2" s="47" t="s">
        <v>40</v>
      </c>
      <c r="N2" s="48"/>
      <c r="O2" s="51"/>
      <c r="P2" s="52"/>
      <c r="Q2" s="21"/>
      <c r="R2" s="51" t="s">
        <v>32</v>
      </c>
      <c r="S2" s="56"/>
      <c r="T2" s="52"/>
    </row>
    <row r="3" spans="1:20" s="1" customFormat="1" ht="32.25" hidden="1" x14ac:dyDescent="0.3">
      <c r="A3" s="19"/>
      <c r="B3" s="20"/>
      <c r="C3" s="20"/>
      <c r="D3" s="44" t="s">
        <v>43</v>
      </c>
      <c r="E3" s="45" t="s">
        <v>44</v>
      </c>
      <c r="F3" s="45" t="s">
        <v>45</v>
      </c>
      <c r="G3" s="44" t="s">
        <v>34</v>
      </c>
      <c r="H3" s="45" t="s">
        <v>35</v>
      </c>
      <c r="I3" s="44" t="s">
        <v>34</v>
      </c>
      <c r="J3" s="45" t="s">
        <v>35</v>
      </c>
      <c r="K3" s="44" t="s">
        <v>34</v>
      </c>
      <c r="L3" s="45" t="s">
        <v>35</v>
      </c>
      <c r="M3" s="44" t="s">
        <v>34</v>
      </c>
      <c r="N3" s="45" t="s">
        <v>35</v>
      </c>
      <c r="O3" s="44" t="s">
        <v>43</v>
      </c>
      <c r="P3" s="45" t="s">
        <v>44</v>
      </c>
      <c r="Q3" s="46"/>
      <c r="R3" s="44" t="s">
        <v>43</v>
      </c>
      <c r="S3" s="45" t="s">
        <v>44</v>
      </c>
      <c r="T3" s="44" t="s">
        <v>45</v>
      </c>
    </row>
    <row r="4" spans="1:20" hidden="1" x14ac:dyDescent="0.25">
      <c r="A4" s="29"/>
      <c r="B4" s="30"/>
      <c r="C4" s="30"/>
      <c r="D4" s="2"/>
      <c r="E4" s="3"/>
      <c r="F4" s="3"/>
      <c r="G4" s="3"/>
      <c r="H4" s="2"/>
      <c r="I4" s="3"/>
      <c r="J4" s="2"/>
      <c r="K4" s="3"/>
      <c r="L4" s="3"/>
      <c r="M4" s="3"/>
      <c r="N4" s="2"/>
      <c r="O4" s="2"/>
      <c r="P4" s="2"/>
      <c r="Q4" s="23"/>
      <c r="R4" s="2"/>
      <c r="S4" s="2"/>
      <c r="T4" s="2"/>
    </row>
    <row r="5" spans="1:20" s="1" customFormat="1" ht="18.75" hidden="1" x14ac:dyDescent="0.3">
      <c r="A5" s="31" t="s">
        <v>3</v>
      </c>
      <c r="B5" s="32"/>
      <c r="C5" s="32"/>
      <c r="D5" s="5">
        <f t="shared" ref="D5:N5" si="0">SUM(D6:D14)</f>
        <v>103864995</v>
      </c>
      <c r="E5" s="6">
        <f t="shared" si="0"/>
        <v>103707755</v>
      </c>
      <c r="F5" s="6">
        <f t="shared" si="0"/>
        <v>-157240</v>
      </c>
      <c r="G5" s="6">
        <f t="shared" si="0"/>
        <v>-1230104</v>
      </c>
      <c r="H5" s="5">
        <f t="shared" si="0"/>
        <v>-676799</v>
      </c>
      <c r="I5" s="6">
        <f t="shared" si="0"/>
        <v>-112550</v>
      </c>
      <c r="J5" s="5">
        <f t="shared" si="0"/>
        <v>338096</v>
      </c>
      <c r="K5" s="5">
        <f t="shared" si="0"/>
        <v>0</v>
      </c>
      <c r="L5" s="5">
        <f t="shared" si="0"/>
        <v>0</v>
      </c>
      <c r="M5" s="6">
        <f t="shared" si="0"/>
        <v>2567210</v>
      </c>
      <c r="N5" s="5">
        <f t="shared" si="0"/>
        <v>2208886</v>
      </c>
      <c r="O5" s="5">
        <f t="shared" ref="O5:P5" si="1">SUM(O6:O14)</f>
        <v>1224556</v>
      </c>
      <c r="P5" s="5">
        <f t="shared" si="1"/>
        <v>1870183</v>
      </c>
      <c r="Q5" s="24"/>
      <c r="R5" s="5">
        <f>SUM(R6:R14)</f>
        <v>105089551</v>
      </c>
      <c r="S5" s="5">
        <f>SUM(S6:S14)</f>
        <v>105577938</v>
      </c>
      <c r="T5" s="5">
        <f>SUM(T6:T14)</f>
        <v>488387</v>
      </c>
    </row>
    <row r="6" spans="1:20" s="9" customFormat="1" ht="15.75" hidden="1" x14ac:dyDescent="0.25">
      <c r="A6" s="33"/>
      <c r="B6" s="34" t="s">
        <v>4</v>
      </c>
      <c r="C6" s="34"/>
      <c r="D6" s="7">
        <v>6456473</v>
      </c>
      <c r="E6" s="8">
        <f>6568164</f>
        <v>6568164</v>
      </c>
      <c r="F6" s="8">
        <f>E6-D6</f>
        <v>111691</v>
      </c>
      <c r="G6" s="8">
        <f>-73500-17975+15000-45440</f>
        <v>-121915</v>
      </c>
      <c r="H6" s="7">
        <f>-113915-8000</f>
        <v>-121915</v>
      </c>
      <c r="I6" s="8">
        <f>-5481</f>
        <v>-5481</v>
      </c>
      <c r="J6" s="7"/>
      <c r="K6" s="8"/>
      <c r="L6" s="8"/>
      <c r="M6" s="8">
        <v>43946</v>
      </c>
      <c r="N6" s="7"/>
      <c r="O6" s="7">
        <f>(G6+I6+K6+M6)</f>
        <v>-83450</v>
      </c>
      <c r="P6" s="7">
        <f>H6+J6+L6+N6</f>
        <v>-121915</v>
      </c>
      <c r="Q6" s="25"/>
      <c r="R6" s="7">
        <f t="shared" ref="R6:R14" si="2">D6+G6+I6+K6+M6</f>
        <v>6373023</v>
      </c>
      <c r="S6" s="7">
        <f t="shared" ref="S6:S14" si="3">E6+H6+J6+L6+N6</f>
        <v>6446249</v>
      </c>
      <c r="T6" s="7">
        <f>S6-R6</f>
        <v>73226</v>
      </c>
    </row>
    <row r="7" spans="1:20" s="9" customFormat="1" ht="15.75" hidden="1" x14ac:dyDescent="0.25">
      <c r="A7" s="33"/>
      <c r="B7" s="34" t="s">
        <v>5</v>
      </c>
      <c r="C7" s="34"/>
      <c r="D7" s="7">
        <f>7094345</f>
        <v>7094345</v>
      </c>
      <c r="E7" s="8">
        <f>7495195</f>
        <v>7495195</v>
      </c>
      <c r="F7" s="8">
        <f>E7-D7</f>
        <v>400850</v>
      </c>
      <c r="G7" s="8">
        <v>49085</v>
      </c>
      <c r="H7" s="7">
        <v>49085</v>
      </c>
      <c r="I7" s="8">
        <f>-7581</f>
        <v>-7581</v>
      </c>
      <c r="J7" s="7"/>
      <c r="K7" s="8"/>
      <c r="L7" s="8"/>
      <c r="M7" s="8">
        <v>-6723</v>
      </c>
      <c r="N7" s="7"/>
      <c r="O7" s="7">
        <f t="shared" ref="O7:O14" si="4">(G7+I7+K7+M7)</f>
        <v>34781</v>
      </c>
      <c r="P7" s="7">
        <f t="shared" ref="P7:P14" si="5">H7+J7+L7+N7</f>
        <v>49085</v>
      </c>
      <c r="Q7" s="25"/>
      <c r="R7" s="7">
        <f t="shared" si="2"/>
        <v>7129126</v>
      </c>
      <c r="S7" s="7">
        <f t="shared" si="3"/>
        <v>7544280</v>
      </c>
      <c r="T7" s="7">
        <f t="shared" ref="T7:T14" si="6">S7-R7</f>
        <v>415154</v>
      </c>
    </row>
    <row r="8" spans="1:20" s="9" customFormat="1" ht="15.75" hidden="1" x14ac:dyDescent="0.25">
      <c r="A8" s="33"/>
      <c r="B8" s="34" t="s">
        <v>6</v>
      </c>
      <c r="C8" s="34"/>
      <c r="D8" s="7">
        <v>304830</v>
      </c>
      <c r="E8" s="8">
        <v>304830</v>
      </c>
      <c r="F8" s="8">
        <f>E8-D8</f>
        <v>0</v>
      </c>
      <c r="G8" s="8"/>
      <c r="H8" s="7"/>
      <c r="I8" s="8">
        <f>-298</f>
        <v>-298</v>
      </c>
      <c r="J8" s="7">
        <v>22540</v>
      </c>
      <c r="K8" s="8"/>
      <c r="L8" s="8"/>
      <c r="M8" s="8">
        <v>22540</v>
      </c>
      <c r="N8" s="7"/>
      <c r="O8" s="7">
        <f t="shared" si="4"/>
        <v>22242</v>
      </c>
      <c r="P8" s="7">
        <f t="shared" si="5"/>
        <v>22540</v>
      </c>
      <c r="Q8" s="25"/>
      <c r="R8" s="7">
        <f t="shared" si="2"/>
        <v>327072</v>
      </c>
      <c r="S8" s="7">
        <f t="shared" si="3"/>
        <v>327370</v>
      </c>
      <c r="T8" s="7">
        <f t="shared" si="6"/>
        <v>298</v>
      </c>
    </row>
    <row r="9" spans="1:20" s="9" customFormat="1" ht="15.75" hidden="1" x14ac:dyDescent="0.25">
      <c r="A9" s="33"/>
      <c r="B9" s="34" t="s">
        <v>7</v>
      </c>
      <c r="C9" s="34"/>
      <c r="D9" s="7">
        <f>14577328+2600000</f>
        <v>17177328</v>
      </c>
      <c r="E9" s="8">
        <f>17154920</f>
        <v>17154920</v>
      </c>
      <c r="F9" s="8">
        <f>E9-D9</f>
        <v>-22408</v>
      </c>
      <c r="G9" s="8">
        <v>-374103</v>
      </c>
      <c r="H9" s="7">
        <v>-374103</v>
      </c>
      <c r="I9" s="8">
        <f>-1239</f>
        <v>-1239</v>
      </c>
      <c r="J9" s="7"/>
      <c r="K9" s="8"/>
      <c r="L9" s="8"/>
      <c r="M9" s="8">
        <v>5958</v>
      </c>
      <c r="N9" s="7"/>
      <c r="O9" s="7">
        <f t="shared" si="4"/>
        <v>-369384</v>
      </c>
      <c r="P9" s="7">
        <f t="shared" si="5"/>
        <v>-374103</v>
      </c>
      <c r="Q9" s="25"/>
      <c r="R9" s="7">
        <f t="shared" si="2"/>
        <v>16807944</v>
      </c>
      <c r="S9" s="7">
        <f t="shared" si="3"/>
        <v>16780817</v>
      </c>
      <c r="T9" s="7">
        <f t="shared" si="6"/>
        <v>-27127</v>
      </c>
    </row>
    <row r="10" spans="1:20" s="9" customFormat="1" ht="15.75" hidden="1" x14ac:dyDescent="0.25">
      <c r="A10" s="33"/>
      <c r="B10" s="34" t="s">
        <v>8</v>
      </c>
      <c r="C10" s="34"/>
      <c r="D10" s="7">
        <f>7062281+100</f>
        <v>7062381</v>
      </c>
      <c r="E10" s="8">
        <f>7146104+10000</f>
        <v>7156104</v>
      </c>
      <c r="F10" s="8">
        <f t="shared" ref="F10:F14" si="7">E10-D10</f>
        <v>93723</v>
      </c>
      <c r="G10" s="8">
        <f>-(137400+60000)</f>
        <v>-197400</v>
      </c>
      <c r="H10" s="7">
        <f>-66000-131400</f>
        <v>-197400</v>
      </c>
      <c r="I10" s="8">
        <f>-3901-45+129</f>
        <v>-3817</v>
      </c>
      <c r="J10" s="7">
        <f>135238+90159</f>
        <v>225397</v>
      </c>
      <c r="K10" s="8"/>
      <c r="L10" s="8"/>
      <c r="M10" s="8">
        <v>247937</v>
      </c>
      <c r="N10" s="7"/>
      <c r="O10" s="7">
        <f t="shared" si="4"/>
        <v>46720</v>
      </c>
      <c r="P10" s="7">
        <f t="shared" si="5"/>
        <v>27997</v>
      </c>
      <c r="Q10" s="25"/>
      <c r="R10" s="7">
        <f t="shared" si="2"/>
        <v>7109101</v>
      </c>
      <c r="S10" s="7">
        <f t="shared" si="3"/>
        <v>7184101</v>
      </c>
      <c r="T10" s="7">
        <f t="shared" si="6"/>
        <v>75000</v>
      </c>
    </row>
    <row r="11" spans="1:20" s="9" customFormat="1" ht="15.75" hidden="1" x14ac:dyDescent="0.25">
      <c r="A11" s="33"/>
      <c r="B11" s="34" t="s">
        <v>9</v>
      </c>
      <c r="C11" s="34"/>
      <c r="D11" s="7">
        <f>28152663+1000+14926747+3816</f>
        <v>43084226</v>
      </c>
      <c r="E11" s="8">
        <f>42360065</f>
        <v>42360065</v>
      </c>
      <c r="F11" s="8">
        <f t="shared" si="7"/>
        <v>-724161</v>
      </c>
      <c r="G11" s="8">
        <f>-169000-41405-150000-50000</f>
        <v>-410405</v>
      </c>
      <c r="H11" s="7"/>
      <c r="I11" s="8">
        <f>-3824</f>
        <v>-3824</v>
      </c>
      <c r="J11" s="7"/>
      <c r="K11" s="8"/>
      <c r="L11" s="8"/>
      <c r="M11" s="8">
        <v>2163393</v>
      </c>
      <c r="N11" s="7">
        <v>2208886</v>
      </c>
      <c r="O11" s="7">
        <f t="shared" si="4"/>
        <v>1749164</v>
      </c>
      <c r="P11" s="7">
        <f t="shared" si="5"/>
        <v>2208886</v>
      </c>
      <c r="Q11" s="25"/>
      <c r="R11" s="7">
        <f t="shared" si="2"/>
        <v>44833390</v>
      </c>
      <c r="S11" s="7">
        <f t="shared" si="3"/>
        <v>44568951</v>
      </c>
      <c r="T11" s="7">
        <f t="shared" si="6"/>
        <v>-264439</v>
      </c>
    </row>
    <row r="12" spans="1:20" s="9" customFormat="1" ht="15.75" hidden="1" x14ac:dyDescent="0.25">
      <c r="A12" s="33"/>
      <c r="B12" s="34" t="s">
        <v>10</v>
      </c>
      <c r="C12" s="34"/>
      <c r="D12" s="7">
        <f>7478458</f>
        <v>7478458</v>
      </c>
      <c r="E12" s="8">
        <f>7411108+73800</f>
        <v>7484908</v>
      </c>
      <c r="F12" s="8">
        <f t="shared" si="7"/>
        <v>6450</v>
      </c>
      <c r="G12" s="8">
        <f>-5190-1276-92000</f>
        <v>-98466</v>
      </c>
      <c r="H12" s="7">
        <v>-98466</v>
      </c>
      <c r="I12" s="8">
        <f>-6618</f>
        <v>-6618</v>
      </c>
      <c r="J12" s="7">
        <v>90159</v>
      </c>
      <c r="K12" s="8"/>
      <c r="L12" s="8"/>
      <c r="M12" s="8">
        <v>90159</v>
      </c>
      <c r="N12" s="7"/>
      <c r="O12" s="7">
        <f t="shared" si="4"/>
        <v>-14925</v>
      </c>
      <c r="P12" s="7">
        <f t="shared" si="5"/>
        <v>-8307</v>
      </c>
      <c r="Q12" s="25"/>
      <c r="R12" s="7">
        <f t="shared" si="2"/>
        <v>7463533</v>
      </c>
      <c r="S12" s="7">
        <f t="shared" si="3"/>
        <v>7476601</v>
      </c>
      <c r="T12" s="7">
        <f t="shared" si="6"/>
        <v>13068</v>
      </c>
    </row>
    <row r="13" spans="1:20" s="9" customFormat="1" ht="15.75" hidden="1" x14ac:dyDescent="0.25">
      <c r="A13" s="33"/>
      <c r="B13" s="34" t="s">
        <v>11</v>
      </c>
      <c r="C13" s="34"/>
      <c r="D13" s="7">
        <v>700000</v>
      </c>
      <c r="E13" s="8">
        <f>700000</f>
        <v>700000</v>
      </c>
      <c r="F13" s="8">
        <f t="shared" si="7"/>
        <v>0</v>
      </c>
      <c r="G13" s="8"/>
      <c r="H13" s="7"/>
      <c r="I13" s="8"/>
      <c r="J13" s="7"/>
      <c r="K13" s="8"/>
      <c r="L13" s="8"/>
      <c r="M13" s="8"/>
      <c r="N13" s="7"/>
      <c r="O13" s="7">
        <f t="shared" si="4"/>
        <v>0</v>
      </c>
      <c r="P13" s="7">
        <f t="shared" si="5"/>
        <v>0</v>
      </c>
      <c r="Q13" s="25"/>
      <c r="R13" s="7">
        <f t="shared" si="2"/>
        <v>700000</v>
      </c>
      <c r="S13" s="7">
        <f t="shared" si="3"/>
        <v>700000</v>
      </c>
      <c r="T13" s="7">
        <f t="shared" si="6"/>
        <v>0</v>
      </c>
    </row>
    <row r="14" spans="1:20" s="9" customFormat="1" ht="15.75" hidden="1" x14ac:dyDescent="0.25">
      <c r="A14" s="33"/>
      <c r="B14" s="34" t="s">
        <v>12</v>
      </c>
      <c r="C14" s="34"/>
      <c r="D14" s="7">
        <f>11761845+3500000+50000+5600000-6404891</f>
        <v>14506954</v>
      </c>
      <c r="E14" s="8">
        <f>18709460+179000+2000000-6404891</f>
        <v>14483569</v>
      </c>
      <c r="F14" s="8">
        <f t="shared" si="7"/>
        <v>-23385</v>
      </c>
      <c r="G14" s="8">
        <f>-27815-49085</f>
        <v>-76900</v>
      </c>
      <c r="H14" s="7">
        <v>66000</v>
      </c>
      <c r="I14" s="8">
        <f>-622-153-444-1841-2132-78500</f>
        <v>-83692</v>
      </c>
      <c r="J14" s="7"/>
      <c r="K14" s="8"/>
      <c r="L14" s="8"/>
      <c r="M14" s="8"/>
      <c r="N14" s="7"/>
      <c r="O14" s="7">
        <f t="shared" si="4"/>
        <v>-160592</v>
      </c>
      <c r="P14" s="7">
        <f t="shared" si="5"/>
        <v>66000</v>
      </c>
      <c r="Q14" s="25"/>
      <c r="R14" s="7">
        <f t="shared" si="2"/>
        <v>14346362</v>
      </c>
      <c r="S14" s="7">
        <f t="shared" si="3"/>
        <v>14549569</v>
      </c>
      <c r="T14" s="7">
        <f t="shared" si="6"/>
        <v>203207</v>
      </c>
    </row>
    <row r="15" spans="1:20" hidden="1" x14ac:dyDescent="0.25">
      <c r="A15" s="29"/>
      <c r="B15" s="30"/>
      <c r="C15" s="30"/>
      <c r="D15" s="2"/>
      <c r="E15" s="3"/>
      <c r="F15" s="3"/>
      <c r="G15" s="3"/>
      <c r="H15" s="2"/>
      <c r="I15" s="3"/>
      <c r="J15" s="2"/>
      <c r="K15" s="3"/>
      <c r="L15" s="3"/>
      <c r="M15" s="3"/>
      <c r="N15" s="2"/>
      <c r="O15" s="2"/>
      <c r="P15" s="2"/>
      <c r="Q15" s="23"/>
      <c r="R15" s="2"/>
      <c r="S15" s="2"/>
      <c r="T15" s="2"/>
    </row>
    <row r="16" spans="1:20" hidden="1" x14ac:dyDescent="0.25">
      <c r="A16" s="29"/>
      <c r="B16" s="30"/>
      <c r="C16" s="30"/>
      <c r="D16" s="2"/>
      <c r="E16" s="3"/>
      <c r="F16" s="3"/>
      <c r="G16" s="3"/>
      <c r="H16" s="2"/>
      <c r="I16" s="3"/>
      <c r="J16" s="2"/>
      <c r="K16" s="3"/>
      <c r="L16" s="3"/>
      <c r="M16" s="3"/>
      <c r="N16" s="2"/>
      <c r="O16" s="2"/>
      <c r="P16" s="2"/>
      <c r="Q16" s="23"/>
      <c r="R16" s="2"/>
      <c r="S16" s="2"/>
      <c r="T16" s="2"/>
    </row>
    <row r="17" spans="1:20" s="1" customFormat="1" ht="18.75" hidden="1" x14ac:dyDescent="0.3">
      <c r="A17" s="31" t="s">
        <v>13</v>
      </c>
      <c r="B17" s="32"/>
      <c r="C17" s="32"/>
      <c r="D17" s="5">
        <f t="shared" ref="D17:N17" si="8">SUM(D18:D24)</f>
        <v>654967705</v>
      </c>
      <c r="E17" s="6">
        <f t="shared" si="8"/>
        <v>666453010</v>
      </c>
      <c r="F17" s="6">
        <f t="shared" si="8"/>
        <v>11485305</v>
      </c>
      <c r="G17" s="6">
        <f>SUM(G18:G24)</f>
        <v>1230104</v>
      </c>
      <c r="H17" s="5">
        <f t="shared" si="8"/>
        <v>0</v>
      </c>
      <c r="I17" s="6">
        <f t="shared" si="8"/>
        <v>1988798</v>
      </c>
      <c r="J17" s="5">
        <f t="shared" si="8"/>
        <v>2214951</v>
      </c>
      <c r="K17" s="5">
        <f t="shared" si="8"/>
        <v>0</v>
      </c>
      <c r="L17" s="5">
        <f t="shared" si="8"/>
        <v>0</v>
      </c>
      <c r="M17" s="6">
        <f t="shared" si="8"/>
        <v>-358324</v>
      </c>
      <c r="N17" s="5">
        <f t="shared" si="8"/>
        <v>0</v>
      </c>
      <c r="O17" s="5">
        <f t="shared" ref="O17:P17" si="9">SUM(O18:O24)</f>
        <v>2860578</v>
      </c>
      <c r="P17" s="5">
        <f t="shared" si="9"/>
        <v>2214951</v>
      </c>
      <c r="Q17" s="24"/>
      <c r="R17" s="5">
        <f>SUM(R18:R24)</f>
        <v>657828283</v>
      </c>
      <c r="S17" s="5">
        <f>SUM(S18:S24)</f>
        <v>668667961</v>
      </c>
      <c r="T17" s="5">
        <f>SUM(T18:T24)</f>
        <v>10839678</v>
      </c>
    </row>
    <row r="18" spans="1:20" s="9" customFormat="1" ht="15.75" hidden="1" x14ac:dyDescent="0.25">
      <c r="A18" s="33"/>
      <c r="B18" s="34" t="s">
        <v>14</v>
      </c>
      <c r="C18" s="34"/>
      <c r="D18" s="7">
        <f>2356392+200</f>
        <v>2356592</v>
      </c>
      <c r="E18" s="8">
        <v>2356592</v>
      </c>
      <c r="F18" s="8">
        <f t="shared" ref="F18:F24" si="10">E18-D18</f>
        <v>0</v>
      </c>
      <c r="G18" s="8">
        <f>58202</f>
        <v>58202</v>
      </c>
      <c r="H18" s="7"/>
      <c r="I18" s="8">
        <f>-1642+165</f>
        <v>-1477</v>
      </c>
      <c r="J18" s="7"/>
      <c r="K18" s="8"/>
      <c r="L18" s="8"/>
      <c r="M18" s="8">
        <v>-157210</v>
      </c>
      <c r="N18" s="7"/>
      <c r="O18" s="7">
        <f t="shared" ref="O18:O24" si="11">(G18+I18+K18+M18)</f>
        <v>-100485</v>
      </c>
      <c r="P18" s="7">
        <f t="shared" ref="P18:P24" si="12">H18+J18+L18+N18</f>
        <v>0</v>
      </c>
      <c r="Q18" s="25"/>
      <c r="R18" s="7">
        <f t="shared" ref="R18:S24" si="13">D18+G18+I18+K18+M18</f>
        <v>2256107</v>
      </c>
      <c r="S18" s="7">
        <f t="shared" si="13"/>
        <v>2356592</v>
      </c>
      <c r="T18" s="7">
        <f t="shared" ref="T18:T24" si="14">S18-R18</f>
        <v>100485</v>
      </c>
    </row>
    <row r="19" spans="1:20" s="9" customFormat="1" ht="15.75" hidden="1" x14ac:dyDescent="0.25">
      <c r="A19" s="33"/>
      <c r="B19" s="34" t="s">
        <v>15</v>
      </c>
      <c r="C19" s="34"/>
      <c r="D19" s="7">
        <f>213692858+121839+4597562-4279123-332986</f>
        <v>213800150</v>
      </c>
      <c r="E19" s="10">
        <f>220445968-4279123-332986</f>
        <v>215833859</v>
      </c>
      <c r="F19" s="8">
        <f t="shared" si="10"/>
        <v>2033709</v>
      </c>
      <c r="G19" s="8">
        <f>-103360-219640</f>
        <v>-323000</v>
      </c>
      <c r="H19" s="7"/>
      <c r="I19" s="8">
        <f>-130456-22250+11010+37576+213146+108357+36751+332986</f>
        <v>587120</v>
      </c>
      <c r="J19" s="7">
        <v>332986</v>
      </c>
      <c r="K19" s="8">
        <v>-59068</v>
      </c>
      <c r="L19" s="8"/>
      <c r="M19" s="8">
        <v>-11446</v>
      </c>
      <c r="N19" s="7"/>
      <c r="O19" s="7">
        <f t="shared" si="11"/>
        <v>193606</v>
      </c>
      <c r="P19" s="7">
        <f t="shared" si="12"/>
        <v>332986</v>
      </c>
      <c r="Q19" s="25"/>
      <c r="R19" s="7">
        <f t="shared" si="13"/>
        <v>213993756</v>
      </c>
      <c r="S19" s="7">
        <f t="shared" si="13"/>
        <v>216166845</v>
      </c>
      <c r="T19" s="7">
        <f t="shared" si="14"/>
        <v>2173089</v>
      </c>
    </row>
    <row r="20" spans="1:20" s="9" customFormat="1" ht="15.75" hidden="1" x14ac:dyDescent="0.25">
      <c r="A20" s="33"/>
      <c r="B20" s="34" t="s">
        <v>16</v>
      </c>
      <c r="C20" s="34"/>
      <c r="D20" s="7">
        <f>143963767-2243550-58490</f>
        <v>141661727</v>
      </c>
      <c r="E20" s="10">
        <f>146279073-2243550-58490</f>
        <v>143977033</v>
      </c>
      <c r="F20" s="8">
        <f t="shared" si="10"/>
        <v>2315306</v>
      </c>
      <c r="G20" s="8">
        <f>-60406-15928-78833-62833</f>
        <v>-218000</v>
      </c>
      <c r="H20" s="7"/>
      <c r="I20" s="8">
        <f>-79814-16861+7514+14957+326060+133575+31874+58490</f>
        <v>475795</v>
      </c>
      <c r="J20" s="7">
        <v>58490</v>
      </c>
      <c r="K20" s="8">
        <v>59068</v>
      </c>
      <c r="L20" s="8"/>
      <c r="M20" s="8">
        <v>-51468</v>
      </c>
      <c r="N20" s="7"/>
      <c r="O20" s="7">
        <f t="shared" si="11"/>
        <v>265395</v>
      </c>
      <c r="P20" s="7">
        <f t="shared" si="12"/>
        <v>58490</v>
      </c>
      <c r="Q20" s="25"/>
      <c r="R20" s="7">
        <f t="shared" si="13"/>
        <v>141927122</v>
      </c>
      <c r="S20" s="7">
        <f t="shared" si="13"/>
        <v>144035523</v>
      </c>
      <c r="T20" s="7">
        <f t="shared" si="14"/>
        <v>2108401</v>
      </c>
    </row>
    <row r="21" spans="1:20" s="9" customFormat="1" ht="15.75" hidden="1" x14ac:dyDescent="0.25">
      <c r="A21" s="33"/>
      <c r="B21" s="34" t="s">
        <v>17</v>
      </c>
      <c r="C21" s="34"/>
      <c r="D21" s="7">
        <f>162767367-3418219-138644+50</f>
        <v>159210554</v>
      </c>
      <c r="E21" s="10">
        <f>166173504-3418219-138644</f>
        <v>162616641</v>
      </c>
      <c r="F21" s="8">
        <f t="shared" si="10"/>
        <v>3406087</v>
      </c>
      <c r="G21" s="8">
        <f>-37751-9249-63000-136000</f>
        <v>-246000</v>
      </c>
      <c r="H21" s="7"/>
      <c r="I21" s="8">
        <f>-70769-17124+8383+7529+246149+159049+36296+138644</f>
        <v>508157</v>
      </c>
      <c r="J21" s="7">
        <v>138644</v>
      </c>
      <c r="K21" s="8"/>
      <c r="L21" s="8"/>
      <c r="M21" s="8">
        <v>-44761</v>
      </c>
      <c r="N21" s="7"/>
      <c r="O21" s="7">
        <f t="shared" si="11"/>
        <v>217396</v>
      </c>
      <c r="P21" s="7">
        <f t="shared" si="12"/>
        <v>138644</v>
      </c>
      <c r="Q21" s="25"/>
      <c r="R21" s="7">
        <f t="shared" si="13"/>
        <v>159427950</v>
      </c>
      <c r="S21" s="7">
        <f t="shared" si="13"/>
        <v>162755285</v>
      </c>
      <c r="T21" s="7">
        <f t="shared" si="14"/>
        <v>3327335</v>
      </c>
    </row>
    <row r="22" spans="1:20" s="9" customFormat="1" ht="15.75" hidden="1" x14ac:dyDescent="0.25">
      <c r="A22" s="33"/>
      <c r="B22" s="34" t="s">
        <v>18</v>
      </c>
      <c r="C22" s="34"/>
      <c r="D22" s="7">
        <f>37911566-2878786-5542</f>
        <v>35027238</v>
      </c>
      <c r="E22" s="10">
        <f>40307353-2878786-5542</f>
        <v>37423025</v>
      </c>
      <c r="F22" s="8">
        <f t="shared" si="10"/>
        <v>2395787</v>
      </c>
      <c r="G22" s="8">
        <f>145360+65572-175515-10332-6933</f>
        <v>18152</v>
      </c>
      <c r="H22" s="7"/>
      <c r="I22" s="8">
        <f>-23690-4404+2012+284+213900+38181+10156+5542</f>
        <v>241981</v>
      </c>
      <c r="J22" s="7">
        <v>5542</v>
      </c>
      <c r="K22" s="8"/>
      <c r="L22" s="8"/>
      <c r="M22" s="8">
        <v>-60126</v>
      </c>
      <c r="N22" s="7"/>
      <c r="O22" s="7">
        <f t="shared" si="11"/>
        <v>200007</v>
      </c>
      <c r="P22" s="7">
        <f t="shared" si="12"/>
        <v>5542</v>
      </c>
      <c r="Q22" s="25"/>
      <c r="R22" s="7">
        <f t="shared" si="13"/>
        <v>35227245</v>
      </c>
      <c r="S22" s="7">
        <f t="shared" si="13"/>
        <v>37428567</v>
      </c>
      <c r="T22" s="7">
        <f t="shared" si="14"/>
        <v>2201322</v>
      </c>
    </row>
    <row r="23" spans="1:20" s="9" customFormat="1" ht="15.75" hidden="1" x14ac:dyDescent="0.25">
      <c r="A23" s="33"/>
      <c r="B23" s="34" t="s">
        <v>19</v>
      </c>
      <c r="C23" s="34"/>
      <c r="D23" s="7">
        <f>56285083-9634-12470</f>
        <v>56262979</v>
      </c>
      <c r="E23" s="10">
        <f>57591114-9634-12470</f>
        <v>57569010</v>
      </c>
      <c r="F23" s="8">
        <f t="shared" si="10"/>
        <v>1306031</v>
      </c>
      <c r="G23" s="8">
        <f>221000+52930</f>
        <v>273930</v>
      </c>
      <c r="H23" s="7"/>
      <c r="I23" s="8">
        <f>-15623-6591+2778+1910+101595+64145+25920+12470</f>
        <v>186604</v>
      </c>
      <c r="J23" s="7">
        <v>12470</v>
      </c>
      <c r="K23" s="8"/>
      <c r="L23" s="8"/>
      <c r="M23" s="8">
        <v>10919</v>
      </c>
      <c r="N23" s="7"/>
      <c r="O23" s="7">
        <f t="shared" si="11"/>
        <v>471453</v>
      </c>
      <c r="P23" s="7">
        <f t="shared" si="12"/>
        <v>12470</v>
      </c>
      <c r="Q23" s="25"/>
      <c r="R23" s="7">
        <f t="shared" si="13"/>
        <v>56734432</v>
      </c>
      <c r="S23" s="7">
        <f t="shared" si="13"/>
        <v>57581480</v>
      </c>
      <c r="T23" s="7">
        <f t="shared" si="14"/>
        <v>847048</v>
      </c>
    </row>
    <row r="24" spans="1:20" s="9" customFormat="1" ht="15.75" hidden="1" x14ac:dyDescent="0.25">
      <c r="A24" s="33"/>
      <c r="B24" s="34" t="s">
        <v>20</v>
      </c>
      <c r="C24" s="34"/>
      <c r="D24" s="7">
        <f>46648465</f>
        <v>46648465</v>
      </c>
      <c r="E24" s="8">
        <f>46676850</f>
        <v>46676850</v>
      </c>
      <c r="F24" s="8">
        <f t="shared" si="10"/>
        <v>28385</v>
      </c>
      <c r="G24" s="8">
        <f>1338811+328009</f>
        <v>1666820</v>
      </c>
      <c r="H24" s="7"/>
      <c r="I24" s="8">
        <f>-7545-4328+2456+35</f>
        <v>-9382</v>
      </c>
      <c r="J24" s="7">
        <f>1022350+503472+140997</f>
        <v>1666819</v>
      </c>
      <c r="K24" s="8"/>
      <c r="L24" s="8"/>
      <c r="M24" s="8">
        <v>-44232</v>
      </c>
      <c r="N24" s="7"/>
      <c r="O24" s="7">
        <f t="shared" si="11"/>
        <v>1613206</v>
      </c>
      <c r="P24" s="7">
        <f t="shared" si="12"/>
        <v>1666819</v>
      </c>
      <c r="Q24" s="25"/>
      <c r="R24" s="7">
        <f t="shared" si="13"/>
        <v>48261671</v>
      </c>
      <c r="S24" s="7">
        <f t="shared" si="13"/>
        <v>48343669</v>
      </c>
      <c r="T24" s="7">
        <f t="shared" si="14"/>
        <v>81998</v>
      </c>
    </row>
    <row r="25" spans="1:20" hidden="1" x14ac:dyDescent="0.25">
      <c r="A25" s="35"/>
      <c r="B25" s="36"/>
      <c r="C25" s="36"/>
      <c r="D25" s="11"/>
      <c r="E25" s="12"/>
      <c r="F25" s="12"/>
      <c r="G25" s="12"/>
      <c r="H25" s="11"/>
      <c r="I25" s="12"/>
      <c r="J25" s="11"/>
      <c r="K25" s="12"/>
      <c r="L25" s="12"/>
      <c r="M25" s="12"/>
      <c r="N25" s="11"/>
      <c r="O25" s="11"/>
      <c r="P25" s="11"/>
      <c r="Q25" s="26"/>
      <c r="R25" s="11"/>
      <c r="S25" s="11"/>
      <c r="T25" s="11"/>
    </row>
    <row r="26" spans="1:20" hidden="1" x14ac:dyDescent="0.25"/>
    <row r="27" spans="1:20" hidden="1" x14ac:dyDescent="0.25">
      <c r="I27" s="4">
        <f>-359103-71756+33838-1841+60159+1022350+503472+140997+548132</f>
        <v>1876248</v>
      </c>
      <c r="N27" s="4">
        <f>N28-M28</f>
        <v>0</v>
      </c>
      <c r="O27" s="4"/>
      <c r="P27" s="4"/>
    </row>
    <row r="28" spans="1:20" hidden="1" x14ac:dyDescent="0.25">
      <c r="D28" s="4">
        <f>D5+D17</f>
        <v>758832700</v>
      </c>
      <c r="E28" s="4">
        <f>E5+E17</f>
        <v>770160765</v>
      </c>
      <c r="F28" s="4">
        <f>E28-D28</f>
        <v>11328065</v>
      </c>
      <c r="G28" s="4">
        <f t="shared" ref="G28:P28" si="15">G5+G17</f>
        <v>0</v>
      </c>
      <c r="H28" s="4">
        <f t="shared" si="15"/>
        <v>-676799</v>
      </c>
      <c r="I28" s="4">
        <f t="shared" si="15"/>
        <v>1876248</v>
      </c>
      <c r="J28" s="4">
        <f t="shared" si="15"/>
        <v>2553047</v>
      </c>
      <c r="K28" s="4">
        <f t="shared" si="15"/>
        <v>0</v>
      </c>
      <c r="L28" s="4">
        <f t="shared" si="15"/>
        <v>0</v>
      </c>
      <c r="M28" s="4">
        <f t="shared" si="15"/>
        <v>2208886</v>
      </c>
      <c r="N28" s="4">
        <f t="shared" si="15"/>
        <v>2208886</v>
      </c>
      <c r="O28" s="4">
        <f t="shared" si="15"/>
        <v>4085134</v>
      </c>
      <c r="P28" s="4">
        <f t="shared" si="15"/>
        <v>4085134</v>
      </c>
      <c r="R28" s="4">
        <f>R5+R17</f>
        <v>762917834</v>
      </c>
      <c r="S28" s="4">
        <f>S5+S17</f>
        <v>774245899</v>
      </c>
      <c r="T28" s="4">
        <f>T5+T17</f>
        <v>11328065</v>
      </c>
    </row>
    <row r="29" spans="1:20" ht="21" x14ac:dyDescent="0.35">
      <c r="A29" s="27" t="s">
        <v>29</v>
      </c>
      <c r="B29" s="17"/>
      <c r="C29" s="17"/>
      <c r="D29" s="16"/>
      <c r="E29" s="17"/>
      <c r="F29" s="28"/>
      <c r="G29" s="16"/>
      <c r="H29" s="28"/>
      <c r="I29" s="16"/>
      <c r="J29" s="28"/>
      <c r="K29" s="17"/>
      <c r="L29" s="17"/>
      <c r="M29" s="16"/>
      <c r="N29" s="28"/>
      <c r="O29" s="17"/>
      <c r="P29" s="17"/>
      <c r="Q29" s="38"/>
      <c r="R29" s="16"/>
      <c r="S29" s="17"/>
      <c r="T29" s="28"/>
    </row>
    <row r="30" spans="1:20" ht="18.75" x14ac:dyDescent="0.3">
      <c r="A30" s="19"/>
      <c r="B30" s="20"/>
      <c r="C30" s="20"/>
      <c r="D30" s="51" t="s">
        <v>0</v>
      </c>
      <c r="E30" s="56"/>
      <c r="F30" s="52"/>
      <c r="G30" s="47" t="s">
        <v>37</v>
      </c>
      <c r="H30" s="53"/>
      <c r="I30" s="47" t="s">
        <v>38</v>
      </c>
      <c r="J30" s="53"/>
      <c r="K30" s="47" t="s">
        <v>41</v>
      </c>
      <c r="L30" s="53"/>
      <c r="M30" s="47" t="s">
        <v>39</v>
      </c>
      <c r="N30" s="53"/>
      <c r="O30" s="51" t="s">
        <v>1</v>
      </c>
      <c r="P30" s="52"/>
      <c r="Q30" s="21"/>
      <c r="R30" s="51" t="s">
        <v>36</v>
      </c>
      <c r="S30" s="56"/>
      <c r="T30" s="52"/>
    </row>
    <row r="31" spans="1:20" ht="18.75" x14ac:dyDescent="0.3">
      <c r="A31" s="19"/>
      <c r="B31" s="20"/>
      <c r="C31" s="20"/>
      <c r="D31" s="51" t="s">
        <v>32</v>
      </c>
      <c r="E31" s="56"/>
      <c r="F31" s="52"/>
      <c r="G31" s="47" t="s">
        <v>2</v>
      </c>
      <c r="H31" s="48"/>
      <c r="I31" s="47" t="s">
        <v>2</v>
      </c>
      <c r="J31" s="48"/>
      <c r="K31" s="47" t="s">
        <v>42</v>
      </c>
      <c r="L31" s="48"/>
      <c r="M31" s="47" t="s">
        <v>40</v>
      </c>
      <c r="N31" s="48"/>
      <c r="O31" s="51"/>
      <c r="P31" s="52"/>
      <c r="Q31" s="21"/>
      <c r="R31" s="51" t="s">
        <v>32</v>
      </c>
      <c r="S31" s="56"/>
      <c r="T31" s="52"/>
    </row>
    <row r="32" spans="1:20" ht="32.25" x14ac:dyDescent="0.3">
      <c r="A32" s="19"/>
      <c r="B32" s="20"/>
      <c r="C32" s="20"/>
      <c r="D32" s="44" t="s">
        <v>43</v>
      </c>
      <c r="E32" s="45" t="s">
        <v>44</v>
      </c>
      <c r="F32" s="45" t="s">
        <v>45</v>
      </c>
      <c r="G32" s="44" t="s">
        <v>34</v>
      </c>
      <c r="H32" s="45" t="s">
        <v>35</v>
      </c>
      <c r="I32" s="44" t="s">
        <v>34</v>
      </c>
      <c r="J32" s="45" t="s">
        <v>35</v>
      </c>
      <c r="K32" s="44" t="s">
        <v>34</v>
      </c>
      <c r="L32" s="45" t="s">
        <v>35</v>
      </c>
      <c r="M32" s="44" t="s">
        <v>34</v>
      </c>
      <c r="N32" s="45" t="s">
        <v>35</v>
      </c>
      <c r="O32" s="44" t="s">
        <v>43</v>
      </c>
      <c r="P32" s="45" t="s">
        <v>44</v>
      </c>
      <c r="Q32" s="46"/>
      <c r="R32" s="44" t="s">
        <v>43</v>
      </c>
      <c r="S32" s="45" t="s">
        <v>44</v>
      </c>
      <c r="T32" s="44" t="s">
        <v>45</v>
      </c>
    </row>
    <row r="33" spans="1:20" ht="18.75" x14ac:dyDescent="0.3">
      <c r="A33" s="37" t="s">
        <v>33</v>
      </c>
      <c r="B33" s="30"/>
      <c r="C33" s="30"/>
      <c r="D33" s="13"/>
      <c r="E33" s="14"/>
      <c r="F33" s="14"/>
      <c r="G33" s="13"/>
      <c r="H33" s="14"/>
      <c r="I33" s="13"/>
      <c r="J33" s="14"/>
      <c r="K33" s="14"/>
      <c r="L33" s="14"/>
      <c r="M33" s="13"/>
      <c r="N33" s="14"/>
      <c r="O33" s="15"/>
      <c r="P33" s="15"/>
      <c r="Q33" s="22"/>
      <c r="R33" s="13"/>
      <c r="S33" s="13"/>
      <c r="T33" s="13"/>
    </row>
    <row r="34" spans="1:20" x14ac:dyDescent="0.25">
      <c r="A34" s="29"/>
      <c r="B34" s="30"/>
      <c r="C34" s="30"/>
      <c r="D34" s="2"/>
      <c r="E34" s="3"/>
      <c r="F34" s="3"/>
      <c r="G34" s="3"/>
      <c r="H34" s="2"/>
      <c r="I34" s="3"/>
      <c r="J34" s="2"/>
      <c r="K34" s="3"/>
      <c r="L34" s="3"/>
      <c r="M34" s="3"/>
      <c r="N34" s="2"/>
      <c r="O34" s="2"/>
      <c r="P34" s="2"/>
      <c r="Q34" s="23"/>
      <c r="R34" s="2"/>
      <c r="S34" s="2"/>
      <c r="T34" s="2"/>
    </row>
    <row r="35" spans="1:20" s="1" customFormat="1" ht="18.75" x14ac:dyDescent="0.3">
      <c r="A35" s="31" t="s">
        <v>21</v>
      </c>
      <c r="B35" s="32"/>
      <c r="C35" s="32"/>
      <c r="D35" s="5">
        <f t="shared" ref="D35:N35" si="16">SUM(D36:D44)</f>
        <v>103864.99500000001</v>
      </c>
      <c r="E35" s="6">
        <f t="shared" si="16"/>
        <v>103707.75499999999</v>
      </c>
      <c r="F35" s="6">
        <f t="shared" si="16"/>
        <v>-157.23999999999995</v>
      </c>
      <c r="G35" s="6">
        <f t="shared" si="16"/>
        <v>-1230.1039999999998</v>
      </c>
      <c r="H35" s="5">
        <f t="shared" si="16"/>
        <v>-676.79899999999998</v>
      </c>
      <c r="I35" s="6">
        <f t="shared" si="16"/>
        <v>-112.55</v>
      </c>
      <c r="J35" s="5">
        <f t="shared" si="16"/>
        <v>338.096</v>
      </c>
      <c r="K35" s="6">
        <f t="shared" si="16"/>
        <v>0</v>
      </c>
      <c r="L35" s="5">
        <f t="shared" si="16"/>
        <v>0</v>
      </c>
      <c r="M35" s="6">
        <f t="shared" si="16"/>
        <v>2567.21</v>
      </c>
      <c r="N35" s="5">
        <f t="shared" si="16"/>
        <v>2208.886</v>
      </c>
      <c r="O35" s="5">
        <f t="shared" ref="O35:P35" si="17">SUM(O36:O44)</f>
        <v>1224.5559999999998</v>
      </c>
      <c r="P35" s="5">
        <f t="shared" si="17"/>
        <v>1870.183</v>
      </c>
      <c r="Q35" s="24"/>
      <c r="R35" s="5">
        <f>SUM(R36:R44)</f>
        <v>105089.55099999999</v>
      </c>
      <c r="S35" s="5">
        <f>SUM(S36:S44)</f>
        <v>105577.93800000001</v>
      </c>
      <c r="T35" s="5">
        <f>SUM(T36:T44)</f>
        <v>488.38699999999989</v>
      </c>
    </row>
    <row r="36" spans="1:20" ht="15.75" hidden="1" x14ac:dyDescent="0.25">
      <c r="A36" s="33"/>
      <c r="B36" s="34" t="s">
        <v>4</v>
      </c>
      <c r="C36" s="34"/>
      <c r="D36" s="7">
        <f>D6/1000</f>
        <v>6456.473</v>
      </c>
      <c r="E36" s="7">
        <f t="shared" ref="E36:F36" si="18">E6/1000</f>
        <v>6568.1639999999998</v>
      </c>
      <c r="F36" s="7">
        <f t="shared" si="18"/>
        <v>111.691</v>
      </c>
      <c r="G36" s="8">
        <f>G6/1000</f>
        <v>-121.91500000000001</v>
      </c>
      <c r="H36" s="8">
        <f>H6/1000</f>
        <v>-121.91500000000001</v>
      </c>
      <c r="I36" s="8">
        <f>I6/1000</f>
        <v>-5.4809999999999999</v>
      </c>
      <c r="J36" s="8">
        <f>J6/1000</f>
        <v>0</v>
      </c>
      <c r="K36" s="8">
        <f t="shared" ref="K36:P36" si="19">K6/1000</f>
        <v>0</v>
      </c>
      <c r="L36" s="8">
        <f t="shared" si="19"/>
        <v>0</v>
      </c>
      <c r="M36" s="8">
        <f t="shared" si="19"/>
        <v>43.945999999999998</v>
      </c>
      <c r="N36" s="8">
        <f t="shared" si="19"/>
        <v>0</v>
      </c>
      <c r="O36" s="8">
        <f t="shared" si="19"/>
        <v>-83.45</v>
      </c>
      <c r="P36" s="8">
        <f t="shared" si="19"/>
        <v>-121.91500000000001</v>
      </c>
      <c r="Q36" s="25"/>
      <c r="R36" s="7">
        <f>R6/1000</f>
        <v>6373.0230000000001</v>
      </c>
      <c r="S36" s="7">
        <f>S6/1000</f>
        <v>6446.2489999999998</v>
      </c>
      <c r="T36" s="7">
        <f>T6/1000</f>
        <v>73.225999999999999</v>
      </c>
    </row>
    <row r="37" spans="1:20" ht="15.75" hidden="1" x14ac:dyDescent="0.25">
      <c r="A37" s="33"/>
      <c r="B37" s="34" t="s">
        <v>5</v>
      </c>
      <c r="C37" s="34"/>
      <c r="D37" s="7">
        <f t="shared" ref="D37:P37" si="20">D7/1000</f>
        <v>7094.3450000000003</v>
      </c>
      <c r="E37" s="7">
        <f t="shared" si="20"/>
        <v>7495.1949999999997</v>
      </c>
      <c r="F37" s="7">
        <f t="shared" si="20"/>
        <v>400.85</v>
      </c>
      <c r="G37" s="8">
        <f t="shared" si="20"/>
        <v>49.085000000000001</v>
      </c>
      <c r="H37" s="8">
        <f t="shared" si="20"/>
        <v>49.085000000000001</v>
      </c>
      <c r="I37" s="8">
        <f t="shared" si="20"/>
        <v>-7.5810000000000004</v>
      </c>
      <c r="J37" s="8">
        <f t="shared" si="20"/>
        <v>0</v>
      </c>
      <c r="K37" s="8">
        <f t="shared" si="20"/>
        <v>0</v>
      </c>
      <c r="L37" s="8">
        <f t="shared" si="20"/>
        <v>0</v>
      </c>
      <c r="M37" s="8">
        <f t="shared" si="20"/>
        <v>-6.7229999999999999</v>
      </c>
      <c r="N37" s="8">
        <f t="shared" si="20"/>
        <v>0</v>
      </c>
      <c r="O37" s="8">
        <f t="shared" si="20"/>
        <v>34.780999999999999</v>
      </c>
      <c r="P37" s="8">
        <f t="shared" si="20"/>
        <v>49.085000000000001</v>
      </c>
      <c r="Q37" s="25"/>
      <c r="R37" s="7">
        <f t="shared" ref="R37:T37" si="21">R7/1000</f>
        <v>7129.1260000000002</v>
      </c>
      <c r="S37" s="7">
        <f t="shared" si="21"/>
        <v>7544.28</v>
      </c>
      <c r="T37" s="7">
        <f t="shared" si="21"/>
        <v>415.154</v>
      </c>
    </row>
    <row r="38" spans="1:20" ht="15.75" hidden="1" x14ac:dyDescent="0.25">
      <c r="A38" s="33"/>
      <c r="B38" s="34" t="s">
        <v>6</v>
      </c>
      <c r="C38" s="34"/>
      <c r="D38" s="7">
        <f t="shared" ref="D38:P38" si="22">D8/1000</f>
        <v>304.83</v>
      </c>
      <c r="E38" s="7">
        <f t="shared" si="22"/>
        <v>304.83</v>
      </c>
      <c r="F38" s="7">
        <f t="shared" si="22"/>
        <v>0</v>
      </c>
      <c r="G38" s="8">
        <f t="shared" si="22"/>
        <v>0</v>
      </c>
      <c r="H38" s="8">
        <f t="shared" si="22"/>
        <v>0</v>
      </c>
      <c r="I38" s="8">
        <f t="shared" si="22"/>
        <v>-0.29799999999999999</v>
      </c>
      <c r="J38" s="8">
        <f t="shared" si="22"/>
        <v>22.54</v>
      </c>
      <c r="K38" s="8">
        <f t="shared" si="22"/>
        <v>0</v>
      </c>
      <c r="L38" s="8">
        <f t="shared" si="22"/>
        <v>0</v>
      </c>
      <c r="M38" s="8">
        <f t="shared" si="22"/>
        <v>22.54</v>
      </c>
      <c r="N38" s="8">
        <f t="shared" si="22"/>
        <v>0</v>
      </c>
      <c r="O38" s="8">
        <f t="shared" si="22"/>
        <v>22.242000000000001</v>
      </c>
      <c r="P38" s="8">
        <f t="shared" si="22"/>
        <v>22.54</v>
      </c>
      <c r="Q38" s="25"/>
      <c r="R38" s="7">
        <f t="shared" ref="R38:T38" si="23">R8/1000</f>
        <v>327.072</v>
      </c>
      <c r="S38" s="7">
        <f t="shared" si="23"/>
        <v>327.37</v>
      </c>
      <c r="T38" s="7">
        <f t="shared" si="23"/>
        <v>0.29799999999999999</v>
      </c>
    </row>
    <row r="39" spans="1:20" ht="15.75" hidden="1" x14ac:dyDescent="0.25">
      <c r="A39" s="33"/>
      <c r="B39" s="34" t="s">
        <v>7</v>
      </c>
      <c r="C39" s="34"/>
      <c r="D39" s="7">
        <f t="shared" ref="D39:P39" si="24">D9/1000</f>
        <v>17177.328000000001</v>
      </c>
      <c r="E39" s="7">
        <f t="shared" si="24"/>
        <v>17154.919999999998</v>
      </c>
      <c r="F39" s="7">
        <f t="shared" si="24"/>
        <v>-22.408000000000001</v>
      </c>
      <c r="G39" s="8">
        <f t="shared" si="24"/>
        <v>-374.10300000000001</v>
      </c>
      <c r="H39" s="8">
        <f t="shared" si="24"/>
        <v>-374.10300000000001</v>
      </c>
      <c r="I39" s="8">
        <f t="shared" si="24"/>
        <v>-1.2390000000000001</v>
      </c>
      <c r="J39" s="8">
        <f t="shared" si="24"/>
        <v>0</v>
      </c>
      <c r="K39" s="8">
        <f t="shared" si="24"/>
        <v>0</v>
      </c>
      <c r="L39" s="8">
        <f t="shared" si="24"/>
        <v>0</v>
      </c>
      <c r="M39" s="8">
        <f t="shared" si="24"/>
        <v>5.9580000000000002</v>
      </c>
      <c r="N39" s="8">
        <f t="shared" si="24"/>
        <v>0</v>
      </c>
      <c r="O39" s="8">
        <f t="shared" si="24"/>
        <v>-369.38400000000001</v>
      </c>
      <c r="P39" s="8">
        <f t="shared" si="24"/>
        <v>-374.10300000000001</v>
      </c>
      <c r="Q39" s="25"/>
      <c r="R39" s="7">
        <f t="shared" ref="R39:T39" si="25">R9/1000</f>
        <v>16807.944</v>
      </c>
      <c r="S39" s="7">
        <f t="shared" si="25"/>
        <v>16780.816999999999</v>
      </c>
      <c r="T39" s="7">
        <f t="shared" si="25"/>
        <v>-27.126999999999999</v>
      </c>
    </row>
    <row r="40" spans="1:20" ht="15.75" hidden="1" x14ac:dyDescent="0.25">
      <c r="A40" s="33"/>
      <c r="B40" s="34" t="s">
        <v>8</v>
      </c>
      <c r="C40" s="34"/>
      <c r="D40" s="7">
        <f t="shared" ref="D40:P40" si="26">D10/1000</f>
        <v>7062.3810000000003</v>
      </c>
      <c r="E40" s="7">
        <f t="shared" si="26"/>
        <v>7156.1040000000003</v>
      </c>
      <c r="F40" s="7">
        <f t="shared" si="26"/>
        <v>93.722999999999999</v>
      </c>
      <c r="G40" s="8">
        <f t="shared" si="26"/>
        <v>-197.4</v>
      </c>
      <c r="H40" s="8">
        <f t="shared" si="26"/>
        <v>-197.4</v>
      </c>
      <c r="I40" s="8">
        <f t="shared" si="26"/>
        <v>-3.8170000000000002</v>
      </c>
      <c r="J40" s="8">
        <f t="shared" si="26"/>
        <v>225.39699999999999</v>
      </c>
      <c r="K40" s="8">
        <f t="shared" si="26"/>
        <v>0</v>
      </c>
      <c r="L40" s="8">
        <f t="shared" si="26"/>
        <v>0</v>
      </c>
      <c r="M40" s="8">
        <f t="shared" si="26"/>
        <v>247.93700000000001</v>
      </c>
      <c r="N40" s="8">
        <f t="shared" si="26"/>
        <v>0</v>
      </c>
      <c r="O40" s="8">
        <f t="shared" si="26"/>
        <v>46.72</v>
      </c>
      <c r="P40" s="8">
        <f t="shared" si="26"/>
        <v>27.997</v>
      </c>
      <c r="Q40" s="25"/>
      <c r="R40" s="7">
        <f t="shared" ref="R40:T40" si="27">R10/1000</f>
        <v>7109.1009999999997</v>
      </c>
      <c r="S40" s="7">
        <f t="shared" si="27"/>
        <v>7184.1009999999997</v>
      </c>
      <c r="T40" s="7">
        <f t="shared" si="27"/>
        <v>75</v>
      </c>
    </row>
    <row r="41" spans="1:20" ht="15.75" hidden="1" x14ac:dyDescent="0.25">
      <c r="A41" s="33"/>
      <c r="B41" s="34" t="s">
        <v>9</v>
      </c>
      <c r="C41" s="34"/>
      <c r="D41" s="7">
        <f t="shared" ref="D41:P41" si="28">D11/1000</f>
        <v>43084.226000000002</v>
      </c>
      <c r="E41" s="7">
        <f t="shared" si="28"/>
        <v>42360.065000000002</v>
      </c>
      <c r="F41" s="7">
        <f t="shared" si="28"/>
        <v>-724.16099999999994</v>
      </c>
      <c r="G41" s="8">
        <f t="shared" si="28"/>
        <v>-410.40499999999997</v>
      </c>
      <c r="H41" s="8">
        <f t="shared" si="28"/>
        <v>0</v>
      </c>
      <c r="I41" s="8">
        <f t="shared" si="28"/>
        <v>-3.8239999999999998</v>
      </c>
      <c r="J41" s="8">
        <f t="shared" si="28"/>
        <v>0</v>
      </c>
      <c r="K41" s="8">
        <f t="shared" si="28"/>
        <v>0</v>
      </c>
      <c r="L41" s="8">
        <f t="shared" si="28"/>
        <v>0</v>
      </c>
      <c r="M41" s="8">
        <f t="shared" si="28"/>
        <v>2163.393</v>
      </c>
      <c r="N41" s="8">
        <f t="shared" si="28"/>
        <v>2208.886</v>
      </c>
      <c r="O41" s="8">
        <f t="shared" si="28"/>
        <v>1749.164</v>
      </c>
      <c r="P41" s="8">
        <f t="shared" si="28"/>
        <v>2208.886</v>
      </c>
      <c r="Q41" s="25"/>
      <c r="R41" s="7">
        <f t="shared" ref="R41:T41" si="29">R11/1000</f>
        <v>44833.39</v>
      </c>
      <c r="S41" s="7">
        <f t="shared" si="29"/>
        <v>44568.951000000001</v>
      </c>
      <c r="T41" s="7">
        <f t="shared" si="29"/>
        <v>-264.43900000000002</v>
      </c>
    </row>
    <row r="42" spans="1:20" ht="15.75" hidden="1" x14ac:dyDescent="0.25">
      <c r="A42" s="33"/>
      <c r="B42" s="34" t="s">
        <v>10</v>
      </c>
      <c r="C42" s="34"/>
      <c r="D42" s="7">
        <f t="shared" ref="D42:P42" si="30">D12/1000</f>
        <v>7478.4579999999996</v>
      </c>
      <c r="E42" s="7">
        <f t="shared" si="30"/>
        <v>7484.9080000000004</v>
      </c>
      <c r="F42" s="7">
        <f t="shared" si="30"/>
        <v>6.45</v>
      </c>
      <c r="G42" s="8">
        <f t="shared" si="30"/>
        <v>-98.465999999999994</v>
      </c>
      <c r="H42" s="8">
        <f t="shared" si="30"/>
        <v>-98.465999999999994</v>
      </c>
      <c r="I42" s="8">
        <f t="shared" si="30"/>
        <v>-6.6180000000000003</v>
      </c>
      <c r="J42" s="8">
        <f t="shared" si="30"/>
        <v>90.159000000000006</v>
      </c>
      <c r="K42" s="8">
        <f t="shared" si="30"/>
        <v>0</v>
      </c>
      <c r="L42" s="8">
        <f t="shared" si="30"/>
        <v>0</v>
      </c>
      <c r="M42" s="8">
        <f t="shared" si="30"/>
        <v>90.159000000000006</v>
      </c>
      <c r="N42" s="8">
        <f t="shared" si="30"/>
        <v>0</v>
      </c>
      <c r="O42" s="8">
        <f t="shared" si="30"/>
        <v>-14.925000000000001</v>
      </c>
      <c r="P42" s="8">
        <f t="shared" si="30"/>
        <v>-8.3070000000000004</v>
      </c>
      <c r="Q42" s="25"/>
      <c r="R42" s="7">
        <f t="shared" ref="R42:T42" si="31">R12/1000</f>
        <v>7463.5330000000004</v>
      </c>
      <c r="S42" s="7">
        <f t="shared" si="31"/>
        <v>7476.6009999999997</v>
      </c>
      <c r="T42" s="7">
        <f t="shared" si="31"/>
        <v>13.068</v>
      </c>
    </row>
    <row r="43" spans="1:20" ht="15.75" hidden="1" x14ac:dyDescent="0.25">
      <c r="A43" s="33"/>
      <c r="B43" s="34" t="s">
        <v>11</v>
      </c>
      <c r="C43" s="34"/>
      <c r="D43" s="7">
        <f t="shared" ref="D43:P44" si="32">D13/1000</f>
        <v>700</v>
      </c>
      <c r="E43" s="7">
        <f t="shared" si="32"/>
        <v>700</v>
      </c>
      <c r="F43" s="7">
        <f t="shared" si="32"/>
        <v>0</v>
      </c>
      <c r="G43" s="8">
        <f t="shared" si="32"/>
        <v>0</v>
      </c>
      <c r="H43" s="8">
        <f t="shared" si="32"/>
        <v>0</v>
      </c>
      <c r="I43" s="8">
        <f t="shared" si="32"/>
        <v>0</v>
      </c>
      <c r="J43" s="8">
        <f t="shared" si="32"/>
        <v>0</v>
      </c>
      <c r="K43" s="8">
        <f t="shared" si="32"/>
        <v>0</v>
      </c>
      <c r="L43" s="8">
        <f t="shared" si="32"/>
        <v>0</v>
      </c>
      <c r="M43" s="8">
        <f t="shared" si="32"/>
        <v>0</v>
      </c>
      <c r="N43" s="8">
        <f t="shared" si="32"/>
        <v>0</v>
      </c>
      <c r="O43" s="8">
        <f t="shared" si="32"/>
        <v>0</v>
      </c>
      <c r="P43" s="8">
        <f t="shared" si="32"/>
        <v>0</v>
      </c>
      <c r="Q43" s="25"/>
      <c r="R43" s="7">
        <f t="shared" ref="R43:T43" si="33">R13/1000</f>
        <v>700</v>
      </c>
      <c r="S43" s="7">
        <f t="shared" si="33"/>
        <v>700</v>
      </c>
      <c r="T43" s="7">
        <f t="shared" si="33"/>
        <v>0</v>
      </c>
    </row>
    <row r="44" spans="1:20" ht="15.75" hidden="1" x14ac:dyDescent="0.25">
      <c r="A44" s="33"/>
      <c r="B44" s="34" t="s">
        <v>12</v>
      </c>
      <c r="C44" s="34"/>
      <c r="D44" s="7">
        <f t="shared" ref="D44:N44" si="34">D14/1000</f>
        <v>14506.954</v>
      </c>
      <c r="E44" s="7">
        <f t="shared" si="34"/>
        <v>14483.569</v>
      </c>
      <c r="F44" s="7">
        <f t="shared" si="34"/>
        <v>-23.385000000000002</v>
      </c>
      <c r="G44" s="8">
        <f t="shared" si="34"/>
        <v>-76.900000000000006</v>
      </c>
      <c r="H44" s="8">
        <f t="shared" si="34"/>
        <v>66</v>
      </c>
      <c r="I44" s="8">
        <f t="shared" si="34"/>
        <v>-83.691999999999993</v>
      </c>
      <c r="J44" s="8">
        <f t="shared" si="34"/>
        <v>0</v>
      </c>
      <c r="K44" s="8">
        <f t="shared" si="34"/>
        <v>0</v>
      </c>
      <c r="L44" s="8">
        <f t="shared" si="34"/>
        <v>0</v>
      </c>
      <c r="M44" s="8">
        <f t="shared" si="34"/>
        <v>0</v>
      </c>
      <c r="N44" s="8">
        <f t="shared" si="34"/>
        <v>0</v>
      </c>
      <c r="O44" s="8">
        <f t="shared" si="32"/>
        <v>-160.59200000000001</v>
      </c>
      <c r="P44" s="8">
        <f t="shared" si="32"/>
        <v>66</v>
      </c>
      <c r="Q44" s="25"/>
      <c r="R44" s="7">
        <f t="shared" ref="R44:T44" si="35">R14/1000</f>
        <v>14346.361999999999</v>
      </c>
      <c r="S44" s="7">
        <f t="shared" si="35"/>
        <v>14549.569</v>
      </c>
      <c r="T44" s="7">
        <f t="shared" si="35"/>
        <v>203.20699999999999</v>
      </c>
    </row>
    <row r="45" spans="1:20" hidden="1" x14ac:dyDescent="0.25">
      <c r="A45" s="29"/>
      <c r="B45" s="30"/>
      <c r="C45" s="30"/>
      <c r="D45" s="2"/>
      <c r="E45" s="3"/>
      <c r="F45" s="3"/>
      <c r="G45" s="3"/>
      <c r="H45" s="2"/>
      <c r="I45" s="3"/>
      <c r="J45" s="2"/>
      <c r="K45" s="3"/>
      <c r="L45" s="3"/>
      <c r="M45" s="3"/>
      <c r="N45" s="2"/>
      <c r="O45" s="2"/>
      <c r="P45" s="2"/>
      <c r="Q45" s="23"/>
      <c r="R45" s="2"/>
      <c r="S45" s="2"/>
      <c r="T45" s="2"/>
    </row>
    <row r="46" spans="1:20" x14ac:dyDescent="0.25">
      <c r="A46" s="29"/>
      <c r="B46" s="30"/>
      <c r="C46" s="30"/>
      <c r="D46" s="2"/>
      <c r="E46" s="3"/>
      <c r="F46" s="3"/>
      <c r="G46" s="3"/>
      <c r="H46" s="2"/>
      <c r="I46" s="3"/>
      <c r="J46" s="2"/>
      <c r="K46" s="3"/>
      <c r="L46" s="3"/>
      <c r="M46" s="3"/>
      <c r="N46" s="2"/>
      <c r="O46" s="2"/>
      <c r="P46" s="2"/>
      <c r="Q46" s="23"/>
      <c r="R46" s="2"/>
      <c r="S46" s="2"/>
      <c r="T46" s="2"/>
    </row>
    <row r="47" spans="1:20" ht="18.75" x14ac:dyDescent="0.3">
      <c r="A47" s="31" t="s">
        <v>13</v>
      </c>
      <c r="B47" s="32"/>
      <c r="C47" s="32"/>
      <c r="D47" s="5">
        <f t="shared" ref="D47:N47" si="36">SUM(D48:D54)</f>
        <v>654967.70500000007</v>
      </c>
      <c r="E47" s="6">
        <f t="shared" si="36"/>
        <v>666453.01</v>
      </c>
      <c r="F47" s="6">
        <f t="shared" si="36"/>
        <v>11485.305000000002</v>
      </c>
      <c r="G47" s="6">
        <f t="shared" si="36"/>
        <v>1230.104</v>
      </c>
      <c r="H47" s="5">
        <f t="shared" si="36"/>
        <v>0</v>
      </c>
      <c r="I47" s="6">
        <f t="shared" si="36"/>
        <v>1988.798</v>
      </c>
      <c r="J47" s="5">
        <f t="shared" si="36"/>
        <v>2214.951</v>
      </c>
      <c r="K47" s="6">
        <f t="shared" si="36"/>
        <v>0</v>
      </c>
      <c r="L47" s="5">
        <f t="shared" si="36"/>
        <v>0</v>
      </c>
      <c r="M47" s="6">
        <f t="shared" si="36"/>
        <v>-358.32400000000007</v>
      </c>
      <c r="N47" s="5">
        <f t="shared" si="36"/>
        <v>0</v>
      </c>
      <c r="O47" s="5">
        <f t="shared" ref="O47:P47" si="37">SUM(O48:O54)</f>
        <v>2860.5779999999995</v>
      </c>
      <c r="P47" s="5">
        <f t="shared" si="37"/>
        <v>2214.951</v>
      </c>
      <c r="Q47" s="24"/>
      <c r="R47" s="5">
        <f>SUM(R48:R54)</f>
        <v>657828.28300000005</v>
      </c>
      <c r="S47" s="5">
        <f>SUM(S48:S54)</f>
        <v>668667.96100000001</v>
      </c>
      <c r="T47" s="5">
        <f>SUM(T48:T54)</f>
        <v>10839.678000000002</v>
      </c>
    </row>
    <row r="48" spans="1:20" ht="15.75" x14ac:dyDescent="0.25">
      <c r="A48" s="33" t="s">
        <v>22</v>
      </c>
      <c r="B48" s="34"/>
      <c r="C48" s="34"/>
      <c r="D48" s="7">
        <f>D18/1000</f>
        <v>2356.5920000000001</v>
      </c>
      <c r="E48" s="7">
        <f>E18/1000</f>
        <v>2356.5920000000001</v>
      </c>
      <c r="F48" s="7">
        <f>F18/1000</f>
        <v>0</v>
      </c>
      <c r="G48" s="8">
        <f>G18/1000</f>
        <v>58.201999999999998</v>
      </c>
      <c r="H48" s="8">
        <f>H18/1000</f>
        <v>0</v>
      </c>
      <c r="I48" s="8">
        <f t="shared" ref="I48:P48" si="38">I18/1000</f>
        <v>-1.4770000000000001</v>
      </c>
      <c r="J48" s="8">
        <f t="shared" si="38"/>
        <v>0</v>
      </c>
      <c r="K48" s="8">
        <f t="shared" si="38"/>
        <v>0</v>
      </c>
      <c r="L48" s="8">
        <f t="shared" si="38"/>
        <v>0</v>
      </c>
      <c r="M48" s="8">
        <f t="shared" si="38"/>
        <v>-157.21</v>
      </c>
      <c r="N48" s="8">
        <f t="shared" si="38"/>
        <v>0</v>
      </c>
      <c r="O48" s="8">
        <f t="shared" si="38"/>
        <v>-100.485</v>
      </c>
      <c r="P48" s="8">
        <f t="shared" si="38"/>
        <v>0</v>
      </c>
      <c r="Q48" s="25"/>
      <c r="R48" s="7">
        <f t="shared" ref="R48:T48" si="39">R18/1000</f>
        <v>2256.107</v>
      </c>
      <c r="S48" s="7">
        <f t="shared" si="39"/>
        <v>2356.5920000000001</v>
      </c>
      <c r="T48" s="7">
        <f t="shared" si="39"/>
        <v>100.485</v>
      </c>
    </row>
    <row r="49" spans="1:20" ht="15.75" x14ac:dyDescent="0.25">
      <c r="A49" s="33" t="s">
        <v>23</v>
      </c>
      <c r="B49" s="34"/>
      <c r="C49" s="34"/>
      <c r="D49" s="7">
        <f t="shared" ref="D49:P49" si="40">D19/1000</f>
        <v>213800.15</v>
      </c>
      <c r="E49" s="7">
        <f t="shared" si="40"/>
        <v>215833.859</v>
      </c>
      <c r="F49" s="7">
        <f t="shared" si="40"/>
        <v>2033.7090000000001</v>
      </c>
      <c r="G49" s="8">
        <f t="shared" si="40"/>
        <v>-323</v>
      </c>
      <c r="H49" s="8">
        <f t="shared" si="40"/>
        <v>0</v>
      </c>
      <c r="I49" s="8">
        <f t="shared" si="40"/>
        <v>587.12</v>
      </c>
      <c r="J49" s="8">
        <f t="shared" si="40"/>
        <v>332.98599999999999</v>
      </c>
      <c r="K49" s="8">
        <f t="shared" si="40"/>
        <v>-59.067999999999998</v>
      </c>
      <c r="L49" s="8">
        <f t="shared" si="40"/>
        <v>0</v>
      </c>
      <c r="M49" s="8">
        <f t="shared" si="40"/>
        <v>-11.446</v>
      </c>
      <c r="N49" s="8">
        <f t="shared" si="40"/>
        <v>0</v>
      </c>
      <c r="O49" s="8">
        <f t="shared" si="40"/>
        <v>193.60599999999999</v>
      </c>
      <c r="P49" s="8">
        <f t="shared" si="40"/>
        <v>332.98599999999999</v>
      </c>
      <c r="Q49" s="25"/>
      <c r="R49" s="7">
        <f t="shared" ref="R49:T49" si="41">R19/1000</f>
        <v>213993.75599999999</v>
      </c>
      <c r="S49" s="7">
        <f t="shared" si="41"/>
        <v>216166.845</v>
      </c>
      <c r="T49" s="7">
        <f t="shared" si="41"/>
        <v>2173.0889999999999</v>
      </c>
    </row>
    <row r="50" spans="1:20" ht="15.75" x14ac:dyDescent="0.25">
      <c r="A50" s="33" t="s">
        <v>24</v>
      </c>
      <c r="B50" s="34"/>
      <c r="C50" s="34"/>
      <c r="D50" s="7">
        <f t="shared" ref="D50:P50" si="42">D20/1000</f>
        <v>141661.72700000001</v>
      </c>
      <c r="E50" s="7">
        <f t="shared" si="42"/>
        <v>143977.033</v>
      </c>
      <c r="F50" s="7">
        <f t="shared" si="42"/>
        <v>2315.306</v>
      </c>
      <c r="G50" s="8">
        <f t="shared" si="42"/>
        <v>-218</v>
      </c>
      <c r="H50" s="8">
        <f t="shared" si="42"/>
        <v>0</v>
      </c>
      <c r="I50" s="8">
        <f t="shared" si="42"/>
        <v>475.79500000000002</v>
      </c>
      <c r="J50" s="8">
        <f t="shared" si="42"/>
        <v>58.49</v>
      </c>
      <c r="K50" s="8">
        <f t="shared" si="42"/>
        <v>59.067999999999998</v>
      </c>
      <c r="L50" s="8">
        <f t="shared" si="42"/>
        <v>0</v>
      </c>
      <c r="M50" s="8">
        <f t="shared" si="42"/>
        <v>-51.468000000000004</v>
      </c>
      <c r="N50" s="8">
        <f t="shared" si="42"/>
        <v>0</v>
      </c>
      <c r="O50" s="8">
        <f t="shared" si="42"/>
        <v>265.39499999999998</v>
      </c>
      <c r="P50" s="8">
        <f t="shared" si="42"/>
        <v>58.49</v>
      </c>
      <c r="Q50" s="25"/>
      <c r="R50" s="7">
        <f t="shared" ref="R50:T50" si="43">R20/1000</f>
        <v>141927.122</v>
      </c>
      <c r="S50" s="7">
        <f t="shared" si="43"/>
        <v>144035.52299999999</v>
      </c>
      <c r="T50" s="7">
        <f t="shared" si="43"/>
        <v>2108.4009999999998</v>
      </c>
    </row>
    <row r="51" spans="1:20" ht="15.75" x14ac:dyDescent="0.25">
      <c r="A51" s="33" t="s">
        <v>25</v>
      </c>
      <c r="B51" s="34"/>
      <c r="C51" s="34"/>
      <c r="D51" s="7">
        <f t="shared" ref="D51:P51" si="44">D21/1000</f>
        <v>159210.554</v>
      </c>
      <c r="E51" s="7">
        <f t="shared" si="44"/>
        <v>162616.641</v>
      </c>
      <c r="F51" s="7">
        <f t="shared" si="44"/>
        <v>3406.087</v>
      </c>
      <c r="G51" s="8">
        <f t="shared" si="44"/>
        <v>-246</v>
      </c>
      <c r="H51" s="8">
        <f t="shared" si="44"/>
        <v>0</v>
      </c>
      <c r="I51" s="8">
        <f t="shared" si="44"/>
        <v>508.15699999999998</v>
      </c>
      <c r="J51" s="8">
        <f t="shared" si="44"/>
        <v>138.64400000000001</v>
      </c>
      <c r="K51" s="8">
        <f t="shared" si="44"/>
        <v>0</v>
      </c>
      <c r="L51" s="8">
        <f t="shared" si="44"/>
        <v>0</v>
      </c>
      <c r="M51" s="8">
        <f t="shared" si="44"/>
        <v>-44.761000000000003</v>
      </c>
      <c r="N51" s="8">
        <f t="shared" si="44"/>
        <v>0</v>
      </c>
      <c r="O51" s="8">
        <f t="shared" si="44"/>
        <v>217.39599999999999</v>
      </c>
      <c r="P51" s="8">
        <f t="shared" si="44"/>
        <v>138.64400000000001</v>
      </c>
      <c r="Q51" s="25"/>
      <c r="R51" s="7">
        <f t="shared" ref="R51:T51" si="45">R21/1000</f>
        <v>159427.95000000001</v>
      </c>
      <c r="S51" s="7">
        <f t="shared" si="45"/>
        <v>162755.285</v>
      </c>
      <c r="T51" s="7">
        <f t="shared" si="45"/>
        <v>3327.335</v>
      </c>
    </row>
    <row r="52" spans="1:20" ht="15.75" x14ac:dyDescent="0.25">
      <c r="A52" s="33" t="s">
        <v>26</v>
      </c>
      <c r="B52" s="34"/>
      <c r="C52" s="34"/>
      <c r="D52" s="7">
        <f t="shared" ref="D52:P52" si="46">D22/1000</f>
        <v>35027.237999999998</v>
      </c>
      <c r="E52" s="7">
        <f t="shared" si="46"/>
        <v>37423.025000000001</v>
      </c>
      <c r="F52" s="7">
        <f t="shared" si="46"/>
        <v>2395.7869999999998</v>
      </c>
      <c r="G52" s="8">
        <f t="shared" si="46"/>
        <v>18.152000000000001</v>
      </c>
      <c r="H52" s="8">
        <f t="shared" si="46"/>
        <v>0</v>
      </c>
      <c r="I52" s="8">
        <f t="shared" si="46"/>
        <v>241.98099999999999</v>
      </c>
      <c r="J52" s="8">
        <f t="shared" si="46"/>
        <v>5.5419999999999998</v>
      </c>
      <c r="K52" s="8">
        <f t="shared" si="46"/>
        <v>0</v>
      </c>
      <c r="L52" s="8">
        <f t="shared" si="46"/>
        <v>0</v>
      </c>
      <c r="M52" s="8">
        <f t="shared" si="46"/>
        <v>-60.125999999999998</v>
      </c>
      <c r="N52" s="8">
        <f t="shared" si="46"/>
        <v>0</v>
      </c>
      <c r="O52" s="8">
        <f t="shared" si="46"/>
        <v>200.00700000000001</v>
      </c>
      <c r="P52" s="8">
        <f t="shared" si="46"/>
        <v>5.5419999999999998</v>
      </c>
      <c r="Q52" s="25"/>
      <c r="R52" s="7">
        <f t="shared" ref="R52:T52" si="47">R22/1000</f>
        <v>35227.245000000003</v>
      </c>
      <c r="S52" s="7">
        <f t="shared" si="47"/>
        <v>37428.567000000003</v>
      </c>
      <c r="T52" s="7">
        <f t="shared" si="47"/>
        <v>2201.3220000000001</v>
      </c>
    </row>
    <row r="53" spans="1:20" ht="15.75" x14ac:dyDescent="0.25">
      <c r="A53" s="33" t="s">
        <v>27</v>
      </c>
      <c r="B53" s="34"/>
      <c r="C53" s="34"/>
      <c r="D53" s="7">
        <f t="shared" ref="D53:P53" si="48">D23/1000</f>
        <v>56262.978999999999</v>
      </c>
      <c r="E53" s="7">
        <f t="shared" si="48"/>
        <v>57569.01</v>
      </c>
      <c r="F53" s="7">
        <f t="shared" si="48"/>
        <v>1306.0309999999999</v>
      </c>
      <c r="G53" s="8">
        <f t="shared" si="48"/>
        <v>273.93</v>
      </c>
      <c r="H53" s="8">
        <f t="shared" si="48"/>
        <v>0</v>
      </c>
      <c r="I53" s="8">
        <f t="shared" si="48"/>
        <v>186.60400000000001</v>
      </c>
      <c r="J53" s="8">
        <f t="shared" si="48"/>
        <v>12.47</v>
      </c>
      <c r="K53" s="8">
        <f t="shared" si="48"/>
        <v>0</v>
      </c>
      <c r="L53" s="8">
        <f t="shared" si="48"/>
        <v>0</v>
      </c>
      <c r="M53" s="8">
        <f t="shared" si="48"/>
        <v>10.919</v>
      </c>
      <c r="N53" s="8">
        <f t="shared" si="48"/>
        <v>0</v>
      </c>
      <c r="O53" s="8">
        <f t="shared" si="48"/>
        <v>471.45299999999997</v>
      </c>
      <c r="P53" s="8">
        <f t="shared" si="48"/>
        <v>12.47</v>
      </c>
      <c r="Q53" s="25"/>
      <c r="R53" s="7">
        <f t="shared" ref="R53:T53" si="49">R23/1000</f>
        <v>56734.432000000001</v>
      </c>
      <c r="S53" s="7">
        <f t="shared" si="49"/>
        <v>57581.48</v>
      </c>
      <c r="T53" s="7">
        <f t="shared" si="49"/>
        <v>847.048</v>
      </c>
    </row>
    <row r="54" spans="1:20" ht="15.75" x14ac:dyDescent="0.25">
      <c r="A54" s="33" t="s">
        <v>28</v>
      </c>
      <c r="B54" s="34"/>
      <c r="C54" s="34"/>
      <c r="D54" s="7">
        <f t="shared" ref="D54:P54" si="50">D24/1000</f>
        <v>46648.464999999997</v>
      </c>
      <c r="E54" s="7">
        <f t="shared" si="50"/>
        <v>46676.85</v>
      </c>
      <c r="F54" s="7">
        <f t="shared" si="50"/>
        <v>28.385000000000002</v>
      </c>
      <c r="G54" s="8">
        <f t="shared" si="50"/>
        <v>1666.82</v>
      </c>
      <c r="H54" s="8">
        <f t="shared" si="50"/>
        <v>0</v>
      </c>
      <c r="I54" s="8">
        <f t="shared" si="50"/>
        <v>-9.3819999999999997</v>
      </c>
      <c r="J54" s="8">
        <f t="shared" si="50"/>
        <v>1666.819</v>
      </c>
      <c r="K54" s="8">
        <f t="shared" si="50"/>
        <v>0</v>
      </c>
      <c r="L54" s="8">
        <f t="shared" si="50"/>
        <v>0</v>
      </c>
      <c r="M54" s="8">
        <f t="shared" si="50"/>
        <v>-44.231999999999999</v>
      </c>
      <c r="N54" s="8">
        <f t="shared" si="50"/>
        <v>0</v>
      </c>
      <c r="O54" s="8">
        <f t="shared" si="50"/>
        <v>1613.2059999999999</v>
      </c>
      <c r="P54" s="8">
        <f t="shared" si="50"/>
        <v>1666.819</v>
      </c>
      <c r="Q54" s="25"/>
      <c r="R54" s="7">
        <f t="shared" ref="R54:T54" si="51">R24/1000</f>
        <v>48261.671000000002</v>
      </c>
      <c r="S54" s="7">
        <f t="shared" si="51"/>
        <v>48343.669000000002</v>
      </c>
      <c r="T54" s="7">
        <f t="shared" si="51"/>
        <v>81.998000000000005</v>
      </c>
    </row>
    <row r="55" spans="1:20" ht="15.75" x14ac:dyDescent="0.25">
      <c r="A55" s="39"/>
      <c r="B55" s="40"/>
      <c r="C55" s="40"/>
      <c r="D55" s="41"/>
      <c r="E55" s="42"/>
      <c r="F55" s="42"/>
      <c r="G55" s="42"/>
      <c r="H55" s="41"/>
      <c r="I55" s="42"/>
      <c r="J55" s="41"/>
      <c r="K55" s="42"/>
      <c r="L55" s="42"/>
      <c r="M55" s="42"/>
      <c r="N55" s="42"/>
      <c r="O55" s="41"/>
      <c r="P55" s="41"/>
      <c r="Q55" s="43"/>
      <c r="R55" s="41"/>
      <c r="S55" s="41"/>
      <c r="T55" s="41"/>
    </row>
    <row r="57" spans="1:20" ht="14.25" customHeight="1" x14ac:dyDescent="0.25">
      <c r="B57" t="s">
        <v>30</v>
      </c>
      <c r="O57" s="4"/>
      <c r="P57" s="4"/>
      <c r="T57" s="4"/>
    </row>
    <row r="58" spans="1:20" x14ac:dyDescent="0.25">
      <c r="B58" t="s">
        <v>31</v>
      </c>
    </row>
    <row r="60" spans="1:20" x14ac:dyDescent="0.25">
      <c r="B60" t="s">
        <v>46</v>
      </c>
    </row>
    <row r="62" spans="1:20" x14ac:dyDescent="0.25">
      <c r="F62" s="4"/>
      <c r="T62" s="4"/>
    </row>
  </sheetData>
  <mergeCells count="28">
    <mergeCell ref="D30:F30"/>
    <mergeCell ref="D31:F31"/>
    <mergeCell ref="R30:T30"/>
    <mergeCell ref="R31:T31"/>
    <mergeCell ref="G31:H31"/>
    <mergeCell ref="I31:J31"/>
    <mergeCell ref="M31:N31"/>
    <mergeCell ref="G30:H30"/>
    <mergeCell ref="I30:J30"/>
    <mergeCell ref="M30:N30"/>
    <mergeCell ref="R2:T2"/>
    <mergeCell ref="K1:L1"/>
    <mergeCell ref="K2:L2"/>
    <mergeCell ref="D1:F1"/>
    <mergeCell ref="D2:F2"/>
    <mergeCell ref="R1:T1"/>
    <mergeCell ref="G2:H2"/>
    <mergeCell ref="I2:J2"/>
    <mergeCell ref="M2:N2"/>
    <mergeCell ref="G1:H1"/>
    <mergeCell ref="I1:J1"/>
    <mergeCell ref="M1:N1"/>
    <mergeCell ref="K31:L31"/>
    <mergeCell ref="O1:P1"/>
    <mergeCell ref="O2:P2"/>
    <mergeCell ref="O30:P30"/>
    <mergeCell ref="O31:P31"/>
    <mergeCell ref="K30:L30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PSSHP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Kauppinen Marja-Leena</dc:creator>
  <cp:lastModifiedBy>Kauppinen Marja-Leena</cp:lastModifiedBy>
  <cp:lastPrinted>2020-02-10T12:40:15Z</cp:lastPrinted>
  <dcterms:created xsi:type="dcterms:W3CDTF">2019-04-18T11:26:39Z</dcterms:created>
  <dcterms:modified xsi:type="dcterms:W3CDTF">2020-02-10T12:47:12Z</dcterms:modified>
</cp:coreProperties>
</file>