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40" yWindow="150" windowWidth="12555" windowHeight="11700"/>
  </bookViews>
  <sheets>
    <sheet name="Nilakka 2015" sheetId="1" r:id="rId1"/>
    <sheet name="Koillis-Savo 2015 " sheetId="2" r:id="rId2"/>
    <sheet name="Leppävirta 2015" sheetId="3" r:id="rId3"/>
  </sheets>
  <calcPr calcId="145621"/>
</workbook>
</file>

<file path=xl/calcChain.xml><?xml version="1.0" encoding="utf-8"?>
<calcChain xmlns="http://schemas.openxmlformats.org/spreadsheetml/2006/main">
  <c r="E84" i="1" l="1"/>
  <c r="E83" i="1"/>
  <c r="D110" i="2"/>
  <c r="D111" i="2" s="1"/>
  <c r="M49" i="1"/>
  <c r="K78" i="2"/>
  <c r="D94" i="2"/>
  <c r="K40" i="2"/>
  <c r="D107" i="1"/>
  <c r="D109" i="1" s="1"/>
  <c r="D110" i="1" s="1"/>
  <c r="D111" i="1" s="1"/>
  <c r="M77" i="1"/>
  <c r="M39" i="1"/>
  <c r="D92" i="1"/>
  <c r="M57" i="1"/>
  <c r="D101" i="1"/>
  <c r="M26" i="1" s="1"/>
  <c r="E99" i="1"/>
  <c r="M81" i="1" s="1"/>
  <c r="E101" i="2"/>
  <c r="K82" i="2" s="1"/>
  <c r="D103" i="2"/>
  <c r="G64" i="3"/>
  <c r="K50" i="2" l="1"/>
  <c r="M55" i="1"/>
  <c r="H64" i="3"/>
  <c r="G36" i="3"/>
  <c r="G47" i="3"/>
  <c r="K56" i="2" l="1"/>
  <c r="D112" i="2"/>
  <c r="D113" i="2" s="1"/>
  <c r="K26" i="2"/>
  <c r="G67" i="3"/>
  <c r="G65" i="3"/>
  <c r="G48" i="3"/>
  <c r="G49" i="3" s="1"/>
  <c r="F47" i="3"/>
  <c r="G37" i="3"/>
  <c r="G38" i="3" s="1"/>
  <c r="F36" i="3"/>
  <c r="G35" i="3"/>
  <c r="G27" i="3"/>
  <c r="F24" i="3"/>
  <c r="F80" i="2"/>
  <c r="G78" i="2" s="1"/>
  <c r="G30" i="2" s="1"/>
  <c r="K58" i="2"/>
  <c r="F34" i="3" l="1"/>
  <c r="G33" i="3"/>
  <c r="G32" i="3"/>
  <c r="G34" i="3" s="1"/>
  <c r="G54" i="3" l="1"/>
  <c r="G56" i="3"/>
  <c r="G57" i="3"/>
  <c r="G53" i="3"/>
  <c r="G58" i="3" s="1"/>
  <c r="G43" i="3"/>
  <c r="G42" i="3"/>
  <c r="G12" i="3"/>
  <c r="G13" i="3"/>
  <c r="G15" i="3"/>
  <c r="G16" i="3"/>
  <c r="G18" i="3"/>
  <c r="G20" i="3"/>
  <c r="G21" i="3"/>
  <c r="G22" i="3"/>
  <c r="G23" i="3"/>
  <c r="G10" i="3"/>
  <c r="G24" i="3" s="1"/>
  <c r="F58" i="3" l="1"/>
  <c r="F45" i="3"/>
  <c r="G44" i="3"/>
  <c r="G45" i="3" s="1"/>
  <c r="G46" i="3" l="1"/>
  <c r="G25" i="3"/>
  <c r="F26" i="3" s="1"/>
  <c r="G28" i="3" s="1"/>
  <c r="F79" i="1" l="1"/>
  <c r="G77" i="1" s="1"/>
  <c r="G30" i="1" s="1"/>
  <c r="H79" i="1"/>
  <c r="I77" i="1" s="1"/>
  <c r="I30" i="1" s="1"/>
  <c r="J79" i="1"/>
  <c r="K77" i="1" s="1"/>
  <c r="K30" i="1" s="1"/>
  <c r="L79" i="1"/>
  <c r="D79" i="1"/>
  <c r="E77" i="1" s="1"/>
  <c r="H80" i="2"/>
  <c r="I78" i="2" s="1"/>
  <c r="I30" i="2" s="1"/>
  <c r="D80" i="2"/>
  <c r="E78" i="2" s="1"/>
  <c r="E30" i="2" s="1"/>
  <c r="K30" i="2" l="1"/>
  <c r="E30" i="1"/>
  <c r="H77" i="2"/>
  <c r="D77" i="2"/>
  <c r="F77" i="2"/>
  <c r="J76" i="2"/>
  <c r="I76" i="2"/>
  <c r="E76" i="2"/>
  <c r="G76" i="2"/>
  <c r="J75" i="2"/>
  <c r="I75" i="2"/>
  <c r="E75" i="2"/>
  <c r="G75" i="2"/>
  <c r="J74" i="2"/>
  <c r="I74" i="2"/>
  <c r="E74" i="2"/>
  <c r="G74" i="2"/>
  <c r="J73" i="2"/>
  <c r="I73" i="2"/>
  <c r="E73" i="2"/>
  <c r="G73" i="2"/>
  <c r="J72" i="2"/>
  <c r="J77" i="2" s="1"/>
  <c r="I72" i="2"/>
  <c r="I77" i="2" s="1"/>
  <c r="I81" i="2" s="1"/>
  <c r="E72" i="2"/>
  <c r="E77" i="2" s="1"/>
  <c r="G72" i="2"/>
  <c r="H48" i="2"/>
  <c r="D48" i="2"/>
  <c r="F48" i="2"/>
  <c r="J47" i="2"/>
  <c r="I47" i="2"/>
  <c r="E47" i="2"/>
  <c r="G47" i="2"/>
  <c r="J46" i="2"/>
  <c r="I46" i="2"/>
  <c r="E46" i="2"/>
  <c r="G46" i="2"/>
  <c r="J45" i="2"/>
  <c r="I45" i="2"/>
  <c r="E45" i="2"/>
  <c r="E48" i="2" s="1"/>
  <c r="E49" i="2" s="1"/>
  <c r="G45" i="2"/>
  <c r="G48" i="2" s="1"/>
  <c r="G49" i="2" s="1"/>
  <c r="H38" i="2"/>
  <c r="D38" i="2"/>
  <c r="F38" i="2"/>
  <c r="J37" i="2"/>
  <c r="I37" i="2"/>
  <c r="E37" i="2"/>
  <c r="G37" i="2"/>
  <c r="J36" i="2"/>
  <c r="I36" i="2"/>
  <c r="I38" i="2" s="1"/>
  <c r="K38" i="2" s="1"/>
  <c r="E36" i="2"/>
  <c r="E38" i="2" s="1"/>
  <c r="E39" i="2" s="1"/>
  <c r="G36" i="2"/>
  <c r="G38" i="2" s="1"/>
  <c r="G39" i="2" s="1"/>
  <c r="H24" i="2"/>
  <c r="D24" i="2"/>
  <c r="F24" i="2"/>
  <c r="J23" i="2"/>
  <c r="I23" i="2"/>
  <c r="E23" i="2"/>
  <c r="G23" i="2"/>
  <c r="J22" i="2"/>
  <c r="I22" i="2"/>
  <c r="E22" i="2"/>
  <c r="G22" i="2"/>
  <c r="J21" i="2"/>
  <c r="I21" i="2"/>
  <c r="E21" i="2"/>
  <c r="G21" i="2"/>
  <c r="J20" i="2"/>
  <c r="I20" i="2"/>
  <c r="E20" i="2"/>
  <c r="G20" i="2"/>
  <c r="J18" i="2"/>
  <c r="I18" i="2"/>
  <c r="E18" i="2"/>
  <c r="G18" i="2"/>
  <c r="J17" i="2"/>
  <c r="I17" i="2"/>
  <c r="E17" i="2"/>
  <c r="G17" i="2"/>
  <c r="J16" i="2"/>
  <c r="I16" i="2"/>
  <c r="E16" i="2"/>
  <c r="G16" i="2"/>
  <c r="J15" i="2"/>
  <c r="I15" i="2"/>
  <c r="E15" i="2"/>
  <c r="G15" i="2"/>
  <c r="J13" i="2"/>
  <c r="I13" i="2"/>
  <c r="E13" i="2"/>
  <c r="G13" i="2"/>
  <c r="J12" i="2"/>
  <c r="I12" i="2"/>
  <c r="E12" i="2"/>
  <c r="G12" i="2"/>
  <c r="J10" i="2"/>
  <c r="I10" i="2"/>
  <c r="E10" i="2"/>
  <c r="G10" i="2"/>
  <c r="J76" i="1"/>
  <c r="H76" i="1"/>
  <c r="F76" i="1"/>
  <c r="D76" i="1"/>
  <c r="L75" i="1"/>
  <c r="K75" i="1"/>
  <c r="I75" i="1"/>
  <c r="G75" i="1"/>
  <c r="E75" i="1"/>
  <c r="L74" i="1"/>
  <c r="K74" i="1"/>
  <c r="I74" i="1"/>
  <c r="G74" i="1"/>
  <c r="E74" i="1"/>
  <c r="L73" i="1"/>
  <c r="K73" i="1"/>
  <c r="I73" i="1"/>
  <c r="G73" i="1"/>
  <c r="E73" i="1"/>
  <c r="L72" i="1"/>
  <c r="K72" i="1"/>
  <c r="I72" i="1"/>
  <c r="G72" i="1"/>
  <c r="E72" i="1"/>
  <c r="L71" i="1"/>
  <c r="K71" i="1"/>
  <c r="I71" i="1"/>
  <c r="G71" i="1"/>
  <c r="E71" i="1"/>
  <c r="J46" i="1"/>
  <c r="J47" i="1" s="1"/>
  <c r="H46" i="1"/>
  <c r="F46" i="1"/>
  <c r="F47" i="1" s="1"/>
  <c r="D46" i="1"/>
  <c r="L45" i="1"/>
  <c r="K45" i="1"/>
  <c r="I45" i="1"/>
  <c r="G45" i="1"/>
  <c r="E45" i="1"/>
  <c r="L44" i="1"/>
  <c r="K44" i="1"/>
  <c r="I44" i="1"/>
  <c r="G44" i="1"/>
  <c r="E44" i="1"/>
  <c r="J37" i="1"/>
  <c r="H37" i="1"/>
  <c r="F37" i="1"/>
  <c r="D37" i="1"/>
  <c r="L36" i="1"/>
  <c r="K36" i="1"/>
  <c r="I36" i="1"/>
  <c r="G36" i="1"/>
  <c r="E36" i="1"/>
  <c r="L35" i="1"/>
  <c r="K35" i="1"/>
  <c r="I35" i="1"/>
  <c r="G35" i="1"/>
  <c r="E35" i="1"/>
  <c r="H24" i="1"/>
  <c r="F24" i="1"/>
  <c r="D24" i="1"/>
  <c r="L23" i="1"/>
  <c r="K23" i="1"/>
  <c r="I23" i="1"/>
  <c r="G23" i="1"/>
  <c r="E23" i="1"/>
  <c r="I22" i="1"/>
  <c r="G22" i="1"/>
  <c r="E22" i="1"/>
  <c r="L21" i="1"/>
  <c r="K21" i="1"/>
  <c r="I21" i="1"/>
  <c r="G21" i="1"/>
  <c r="E21" i="1"/>
  <c r="L20" i="1"/>
  <c r="K20" i="1"/>
  <c r="I20" i="1"/>
  <c r="G20" i="1"/>
  <c r="E20" i="1"/>
  <c r="L18" i="1"/>
  <c r="K18" i="1"/>
  <c r="I18" i="1"/>
  <c r="G18" i="1"/>
  <c r="E18" i="1"/>
  <c r="K17" i="1"/>
  <c r="G17" i="1"/>
  <c r="E17" i="1"/>
  <c r="L16" i="1"/>
  <c r="K16" i="1"/>
  <c r="I16" i="1"/>
  <c r="G16" i="1"/>
  <c r="E16" i="1"/>
  <c r="L15" i="1"/>
  <c r="K15" i="1"/>
  <c r="I15" i="1"/>
  <c r="G15" i="1"/>
  <c r="E15" i="1"/>
  <c r="L13" i="1"/>
  <c r="K13" i="1"/>
  <c r="I13" i="1"/>
  <c r="G13" i="1"/>
  <c r="E13" i="1"/>
  <c r="L12" i="1"/>
  <c r="K12" i="1"/>
  <c r="I12" i="1"/>
  <c r="G12" i="1"/>
  <c r="E12" i="1"/>
  <c r="L10" i="1"/>
  <c r="K10" i="1"/>
  <c r="I10" i="1"/>
  <c r="G10" i="1"/>
  <c r="E10" i="1"/>
  <c r="K13" i="2" l="1"/>
  <c r="M30" i="1"/>
  <c r="D4" i="2"/>
  <c r="K83" i="2"/>
  <c r="J80" i="2"/>
  <c r="I48" i="2"/>
  <c r="I49" i="2" s="1"/>
  <c r="K20" i="2"/>
  <c r="K21" i="2"/>
  <c r="K22" i="2"/>
  <c r="K23" i="2"/>
  <c r="K72" i="2"/>
  <c r="K73" i="2"/>
  <c r="K74" i="2"/>
  <c r="K75" i="2"/>
  <c r="K76" i="2"/>
  <c r="K17" i="2"/>
  <c r="K16" i="2"/>
  <c r="I24" i="2"/>
  <c r="K18" i="2"/>
  <c r="F4" i="2"/>
  <c r="E24" i="2"/>
  <c r="E25" i="2" s="1"/>
  <c r="K12" i="2"/>
  <c r="K37" i="2"/>
  <c r="K15" i="2"/>
  <c r="K46" i="2"/>
  <c r="K47" i="2"/>
  <c r="J24" i="2"/>
  <c r="K27" i="2" s="1"/>
  <c r="K36" i="2"/>
  <c r="J38" i="2"/>
  <c r="K41" i="2" s="1"/>
  <c r="K45" i="2"/>
  <c r="E81" i="2"/>
  <c r="H4" i="2"/>
  <c r="G24" i="2"/>
  <c r="G25" i="2" s="1"/>
  <c r="K10" i="2"/>
  <c r="I39" i="2"/>
  <c r="G77" i="2"/>
  <c r="J48" i="2"/>
  <c r="K51" i="2" s="1"/>
  <c r="G37" i="1"/>
  <c r="G38" i="1" s="1"/>
  <c r="E37" i="1"/>
  <c r="M45" i="1"/>
  <c r="L46" i="1"/>
  <c r="L47" i="1" s="1"/>
  <c r="M50" i="1" s="1"/>
  <c r="I37" i="1"/>
  <c r="I38" i="1" s="1"/>
  <c r="M36" i="1"/>
  <c r="M13" i="1"/>
  <c r="M18" i="1"/>
  <c r="M12" i="1"/>
  <c r="K46" i="1"/>
  <c r="K47" i="1" s="1"/>
  <c r="K48" i="1" s="1"/>
  <c r="I76" i="1"/>
  <c r="I80" i="1" s="1"/>
  <c r="M16" i="1"/>
  <c r="G46" i="1"/>
  <c r="G47" i="1" s="1"/>
  <c r="G48" i="1" s="1"/>
  <c r="E76" i="1"/>
  <c r="E80" i="1" s="1"/>
  <c r="L76" i="1"/>
  <c r="M82" i="1" s="1"/>
  <c r="E24" i="1"/>
  <c r="E25" i="1" s="1"/>
  <c r="M74" i="1"/>
  <c r="E38" i="1"/>
  <c r="M72" i="1"/>
  <c r="M20" i="1"/>
  <c r="M21" i="1"/>
  <c r="I24" i="1"/>
  <c r="I25" i="1" s="1"/>
  <c r="F4" i="1"/>
  <c r="G24" i="1"/>
  <c r="G25" i="1" s="1"/>
  <c r="M10" i="1"/>
  <c r="M17" i="1"/>
  <c r="M35" i="1"/>
  <c r="G76" i="1"/>
  <c r="M75" i="1"/>
  <c r="M15" i="1"/>
  <c r="M23" i="1"/>
  <c r="L37" i="1"/>
  <c r="M40" i="1" s="1"/>
  <c r="K37" i="1"/>
  <c r="K38" i="1" s="1"/>
  <c r="H47" i="1"/>
  <c r="I46" i="1"/>
  <c r="I47" i="1" s="1"/>
  <c r="M73" i="1"/>
  <c r="M44" i="1"/>
  <c r="D47" i="1"/>
  <c r="D4" i="1" s="1"/>
  <c r="E46" i="1"/>
  <c r="E47" i="1" s="1"/>
  <c r="K76" i="1"/>
  <c r="M71" i="1"/>
  <c r="K24" i="2" l="1"/>
  <c r="M76" i="1"/>
  <c r="M80" i="1" s="1"/>
  <c r="K48" i="2"/>
  <c r="K49" i="2" s="1"/>
  <c r="K39" i="2"/>
  <c r="G40" i="2" s="1"/>
  <c r="G42" i="2" s="1"/>
  <c r="I25" i="2"/>
  <c r="K77" i="2"/>
  <c r="K81" i="2" s="1"/>
  <c r="I82" i="2" s="1"/>
  <c r="I85" i="2" s="1"/>
  <c r="G81" i="2"/>
  <c r="J4" i="2"/>
  <c r="M37" i="1"/>
  <c r="M38" i="1" s="1"/>
  <c r="K39" i="1" s="1"/>
  <c r="K41" i="1" s="1"/>
  <c r="M46" i="1"/>
  <c r="M47" i="1" s="1"/>
  <c r="M48" i="1" s="1"/>
  <c r="K49" i="1" s="1"/>
  <c r="K51" i="1" s="1"/>
  <c r="E48" i="1"/>
  <c r="H4" i="1"/>
  <c r="K80" i="1"/>
  <c r="I48" i="1"/>
  <c r="G80" i="1"/>
  <c r="I84" i="2" l="1"/>
  <c r="I29" i="2" s="1"/>
  <c r="E40" i="2"/>
  <c r="E42" i="2" s="1"/>
  <c r="E82" i="2"/>
  <c r="G82" i="2"/>
  <c r="I40" i="2"/>
  <c r="I42" i="2" s="1"/>
  <c r="E50" i="2"/>
  <c r="E52" i="2" s="1"/>
  <c r="I50" i="2"/>
  <c r="I52" i="2" s="1"/>
  <c r="G50" i="2"/>
  <c r="G52" i="2" s="1"/>
  <c r="K25" i="2"/>
  <c r="K4" i="2"/>
  <c r="I81" i="1"/>
  <c r="E81" i="1"/>
  <c r="G81" i="1"/>
  <c r="G83" i="1" s="1"/>
  <c r="G29" i="1" s="1"/>
  <c r="G49" i="1"/>
  <c r="G51" i="1" s="1"/>
  <c r="K81" i="1"/>
  <c r="E49" i="1"/>
  <c r="E51" i="1" s="1"/>
  <c r="I49" i="1"/>
  <c r="I51" i="1" s="1"/>
  <c r="L22" i="1"/>
  <c r="K22" i="1"/>
  <c r="J24" i="1"/>
  <c r="E39" i="1"/>
  <c r="E41" i="1" s="1"/>
  <c r="G39" i="1"/>
  <c r="G41" i="1" s="1"/>
  <c r="I39" i="1"/>
  <c r="I41" i="1" s="1"/>
  <c r="G85" i="2" l="1"/>
  <c r="G84" i="2"/>
  <c r="G29" i="2" s="1"/>
  <c r="E85" i="2"/>
  <c r="E84" i="2"/>
  <c r="K84" i="1"/>
  <c r="K83" i="1"/>
  <c r="K29" i="1" s="1"/>
  <c r="I84" i="1"/>
  <c r="I83" i="1"/>
  <c r="I29" i="1" s="1"/>
  <c r="K52" i="2"/>
  <c r="K42" i="2"/>
  <c r="E26" i="2"/>
  <c r="I26" i="2"/>
  <c r="I28" i="2" s="1"/>
  <c r="I57" i="2" s="1"/>
  <c r="G26" i="2"/>
  <c r="M51" i="1"/>
  <c r="M41" i="1"/>
  <c r="L24" i="1"/>
  <c r="M27" i="1" s="1"/>
  <c r="J4" i="1"/>
  <c r="L4" i="1" s="1"/>
  <c r="M22" i="1"/>
  <c r="K24" i="1"/>
  <c r="G28" i="2" l="1"/>
  <c r="G57" i="2" s="1"/>
  <c r="I31" i="2"/>
  <c r="I68" i="2" s="1"/>
  <c r="E28" i="2"/>
  <c r="E57" i="2" s="1"/>
  <c r="E29" i="2"/>
  <c r="K84" i="2"/>
  <c r="K85" i="2"/>
  <c r="E29" i="1"/>
  <c r="M83" i="1"/>
  <c r="K25" i="1"/>
  <c r="M24" i="1"/>
  <c r="G31" i="2" l="1"/>
  <c r="G68" i="2" s="1"/>
  <c r="K28" i="2"/>
  <c r="K57" i="2"/>
  <c r="E59" i="2"/>
  <c r="E60" i="2" s="1"/>
  <c r="E31" i="2"/>
  <c r="K29" i="2"/>
  <c r="M29" i="1"/>
  <c r="I59" i="2"/>
  <c r="I60" i="2" s="1"/>
  <c r="M25" i="1"/>
  <c r="K31" i="2" l="1"/>
  <c r="E68" i="2"/>
  <c r="K68" i="2" s="1"/>
  <c r="K26" i="1"/>
  <c r="E26" i="1"/>
  <c r="E28" i="1" s="1"/>
  <c r="G59" i="2"/>
  <c r="I26" i="1"/>
  <c r="G26" i="1"/>
  <c r="G28" i="1" s="1"/>
  <c r="G31" i="1" s="1"/>
  <c r="G67" i="1" s="1"/>
  <c r="K28" i="1" l="1"/>
  <c r="K31" i="1" s="1"/>
  <c r="K67" i="1" s="1"/>
  <c r="I28" i="1"/>
  <c r="I31" i="1" s="1"/>
  <c r="I67" i="1" s="1"/>
  <c r="E56" i="1"/>
  <c r="E58" i="1" s="1"/>
  <c r="E31" i="1"/>
  <c r="K59" i="2"/>
  <c r="K91" i="2" s="1"/>
  <c r="K92" i="2" s="1"/>
  <c r="G60" i="2"/>
  <c r="K56" i="1" l="1"/>
  <c r="K58" i="1" s="1"/>
  <c r="K59" i="1" s="1"/>
  <c r="M28" i="1"/>
  <c r="M31" i="1"/>
  <c r="E67" i="1"/>
  <c r="I56" i="1"/>
  <c r="I58" i="1" s="1"/>
  <c r="I59" i="1" s="1"/>
  <c r="K60" i="2"/>
  <c r="G84" i="1"/>
  <c r="M84" i="1" s="1"/>
  <c r="G56" i="1" l="1"/>
  <c r="M56" i="1" s="1"/>
  <c r="G58" i="1" l="1"/>
  <c r="M58" i="1" s="1"/>
  <c r="M89" i="1" s="1"/>
  <c r="M90" i="1" s="1"/>
  <c r="E59" i="1"/>
  <c r="G59" i="1" l="1"/>
  <c r="M59" i="1"/>
  <c r="M67" i="1" s="1"/>
</calcChain>
</file>

<file path=xl/comments1.xml><?xml version="1.0" encoding="utf-8"?>
<comments xmlns="http://schemas.openxmlformats.org/spreadsheetml/2006/main">
  <authors>
    <author>Kauttonen Juha</author>
  </authors>
  <commentList>
    <comment ref="M25" authorId="0">
      <text>
        <r>
          <rPr>
            <b/>
            <sz val="9"/>
            <color indexed="81"/>
            <rFont val="Tahoma"/>
            <charset val="1"/>
          </rPr>
          <t>Kauttonen Juha:</t>
        </r>
        <r>
          <rPr>
            <sz val="9"/>
            <color indexed="81"/>
            <rFont val="Tahoma"/>
            <charset val="1"/>
          </rPr>
          <t xml:space="preserve">
Avohoidon keskihinta suoritehintojen mukaan laskettuna</t>
        </r>
      </text>
    </comment>
    <comment ref="M26" authorId="0">
      <text>
        <r>
          <rPr>
            <b/>
            <sz val="9"/>
            <color indexed="81"/>
            <rFont val="Tahoma"/>
            <charset val="1"/>
          </rPr>
          <t>Kauttonen Juha:</t>
        </r>
        <r>
          <rPr>
            <sz val="9"/>
            <color indexed="81"/>
            <rFont val="Tahoma"/>
            <charset val="1"/>
          </rPr>
          <t xml:space="preserve">
Avohoidon nettokustannukset
</t>
        </r>
      </text>
    </comment>
    <comment ref="M27" authorId="0">
      <text>
        <r>
          <rPr>
            <b/>
            <sz val="9"/>
            <color indexed="81"/>
            <rFont val="Tahoma"/>
            <charset val="1"/>
          </rPr>
          <t>Kauttonen Juha:</t>
        </r>
        <r>
          <rPr>
            <sz val="9"/>
            <color indexed="81"/>
            <rFont val="Tahoma"/>
            <charset val="1"/>
          </rPr>
          <t xml:space="preserve">
Suoritteiden keskihinta toteutuneiden kustannusten mukaan laskettuna</t>
        </r>
      </text>
    </comment>
    <comment ref="M39" authorId="0">
      <text>
        <r>
          <rPr>
            <b/>
            <sz val="9"/>
            <color indexed="81"/>
            <rFont val="Tahoma"/>
            <charset val="1"/>
          </rPr>
          <t>Kauttonen Juha:</t>
        </r>
        <r>
          <rPr>
            <sz val="9"/>
            <color indexed="81"/>
            <rFont val="Tahoma"/>
            <charset val="1"/>
          </rPr>
          <t xml:space="preserve">
Suun terveydenhuollon toteutunet kustannukset</t>
        </r>
      </text>
    </comment>
    <comment ref="M49" authorId="0">
      <text>
        <r>
          <rPr>
            <b/>
            <sz val="9"/>
            <color indexed="81"/>
            <rFont val="Tahoma"/>
            <charset val="1"/>
          </rPr>
          <t>Kauttonen Juha:</t>
        </r>
        <r>
          <rPr>
            <sz val="9"/>
            <color indexed="81"/>
            <rFont val="Tahoma"/>
            <charset val="1"/>
          </rPr>
          <t xml:space="preserve">
vuodeosastohoidon toteutuneet kustannukset</t>
        </r>
      </text>
    </comment>
  </commentList>
</comments>
</file>

<file path=xl/sharedStrings.xml><?xml version="1.0" encoding="utf-8"?>
<sst xmlns="http://schemas.openxmlformats.org/spreadsheetml/2006/main" count="298" uniqueCount="113">
  <si>
    <t>Suorite-</t>
  </si>
  <si>
    <t>Kausi:</t>
  </si>
  <si>
    <t>KEITELE</t>
  </si>
  <si>
    <t>PIELAVESI</t>
  </si>
  <si>
    <t>TERVO</t>
  </si>
  <si>
    <t>VESANTO</t>
  </si>
  <si>
    <t>Palvelu</t>
  </si>
  <si>
    <t>hinta</t>
  </si>
  <si>
    <t>€</t>
  </si>
  <si>
    <t>Krt</t>
  </si>
  <si>
    <t>Krt yht.</t>
  </si>
  <si>
    <t>€ yht.</t>
  </si>
  <si>
    <t>Avohoito</t>
  </si>
  <si>
    <t>Koulu- ja opiskeluth</t>
  </si>
  <si>
    <t>Lääkärin vastaanotto</t>
  </si>
  <si>
    <t xml:space="preserve"> käynti lääkärissä</t>
  </si>
  <si>
    <t xml:space="preserve"> puhelinkontakti</t>
  </si>
  <si>
    <t>Sairaanhoitajan vast</t>
  </si>
  <si>
    <t xml:space="preserve"> käynti sairaanh vast</t>
  </si>
  <si>
    <t xml:space="preserve"> sh tai th ryhmäkäy</t>
  </si>
  <si>
    <t>Lastenneuvola</t>
  </si>
  <si>
    <t>Fysioterapia</t>
  </si>
  <si>
    <t xml:space="preserve"> yksilökäynti</t>
  </si>
  <si>
    <t xml:space="preserve"> ryhmäkäynti</t>
  </si>
  <si>
    <t xml:space="preserve"> apuvälinekäynti</t>
  </si>
  <si>
    <t>Mielenterveydenh</t>
  </si>
  <si>
    <t>Avohoito yhteensä</t>
  </si>
  <si>
    <t>Suun terveydenhuolto</t>
  </si>
  <si>
    <t xml:space="preserve"> käynti hammaslää</t>
  </si>
  <si>
    <t xml:space="preserve"> käynti suuhygien</t>
  </si>
  <si>
    <t>Vuodeosastohoito</t>
  </si>
  <si>
    <t xml:space="preserve"> lyhyt</t>
  </si>
  <si>
    <t xml:space="preserve"> pitkä</t>
  </si>
  <si>
    <t xml:space="preserve"> yö-/päivähoito</t>
  </si>
  <si>
    <t>Vuodeosastohoito yhteensä</t>
  </si>
  <si>
    <t>Äitiys-/E-neuvola</t>
  </si>
  <si>
    <t>Puheterapia</t>
  </si>
  <si>
    <t>Psykologi</t>
  </si>
  <si>
    <t>Päivystys</t>
  </si>
  <si>
    <t>ESH-konsultaatio</t>
  </si>
  <si>
    <t>Nilakan palveluyksikkö</t>
  </si>
  <si>
    <t>YHTEENSÄ</t>
  </si>
  <si>
    <t>Seutusuoritteet (palveluyksikön yhteiset toiminnot)</t>
  </si>
  <si>
    <t>Suun terveydenhuolto yhteensä</t>
  </si>
  <si>
    <t>Seutusuoritteet yhteensä (ilman rtg)</t>
  </si>
  <si>
    <t>KAAVI</t>
  </si>
  <si>
    <t>JUANKOSKI</t>
  </si>
  <si>
    <t>RAUTAVAARA</t>
  </si>
  <si>
    <t>Koillis-Savon palveluyksikkö</t>
  </si>
  <si>
    <r>
      <t xml:space="preserve">YHTEENSÄ toteutuneet nettokustannukset kirjanpidon tietojen perusteella 2015 </t>
    </r>
    <r>
      <rPr>
        <sz val="12"/>
        <color theme="1"/>
        <rFont val="Calibri"/>
        <family val="2"/>
        <scheme val="minor"/>
      </rPr>
      <t>(avo+suun terv+vuodeos+seutus.+rtg)</t>
    </r>
  </si>
  <si>
    <t>Röntgen (eurot suoritteilla jaettuna)</t>
  </si>
  <si>
    <t>Röntgenlähetteet</t>
  </si>
  <si>
    <t>Röntgenosuudet</t>
  </si>
  <si>
    <t xml:space="preserve">Suoritteiden toteutumat otettu SIGMASTA (laskutettavat suoritteet) muutoin paitsi suun terveydenhuolto. </t>
  </si>
  <si>
    <t>Suoritteiden toteutumat otettu SIGMASTA (laskutettavat suoritteet) muutoin paitsi suun terveydenhuolto.</t>
  </si>
  <si>
    <t>Jäsenkuntalaskutus ja suoritteet</t>
  </si>
  <si>
    <t>KYSTERI 2015</t>
  </si>
  <si>
    <t>Leppävirran palveluyksikkö</t>
  </si>
  <si>
    <t>Leppävirta</t>
  </si>
  <si>
    <t xml:space="preserve"> </t>
  </si>
  <si>
    <t xml:space="preserve"> käynti sairaanh vast sis. ryhmä</t>
  </si>
  <si>
    <t>Tammi- huhtikuu</t>
  </si>
  <si>
    <t xml:space="preserve"> käynti sairaanh vast (sis. ryhmät)</t>
  </si>
  <si>
    <t>Suoritteiden keskihinta kunta/yhteensä</t>
  </si>
  <si>
    <t>Nettomeno (KP)/kunnan painokerroin</t>
  </si>
  <si>
    <t>Nettomenojen (KP) mukainen keskihinta</t>
  </si>
  <si>
    <t>Kunnan maksuosuus/avohoito</t>
  </si>
  <si>
    <t>Kunnan maksuosuus/suun tervydenhuolto</t>
  </si>
  <si>
    <t>Kunnan maksuosuus/vuodeoastohoito</t>
  </si>
  <si>
    <t>Seutusuoritteet yhteensä (pl. rtg)</t>
  </si>
  <si>
    <t>Suoritteiden keskihinta kunta/yhteensä (pl. rtg)</t>
  </si>
  <si>
    <t>Nettomeno (KP)/kunnan painokerroin (pl. rtg)</t>
  </si>
  <si>
    <t>Nettomenojen (KP) mukainen keskihinta (pl. rtg)</t>
  </si>
  <si>
    <t xml:space="preserve">Kunnan maksuosuus/seutusuoritteet </t>
  </si>
  <si>
    <t>Nettomenojen mukainen kuntaosuus ja maksetut ennakot tarkastelujaksolla</t>
  </si>
  <si>
    <t>Kirjanpidon mukaiset nettomenot (Fina)</t>
  </si>
  <si>
    <t>Kunnan maksuosuus käytön perusteella</t>
  </si>
  <si>
    <t>Kunnalta laskutetut ennakot</t>
  </si>
  <si>
    <t>Erotus (palautus-/lisäkanto+)</t>
  </si>
  <si>
    <t>Kunnan maksuosuus hinnaston perusteella</t>
  </si>
  <si>
    <t>Erotus kirjanpito/ennakot (+/-)</t>
  </si>
  <si>
    <t>Seutusuoritteiden nettomeno (KP)</t>
  </si>
  <si>
    <t>Kunnilta peritty maksuosuus koko vuodelta</t>
  </si>
  <si>
    <t>Rtg</t>
  </si>
  <si>
    <t>Kunnan maksuosuus/avohoitosuoritteet</t>
  </si>
  <si>
    <t>Kunnan maksuosuus/seutusuoritteet</t>
  </si>
  <si>
    <t>Kunnan maksuosuus/röntgen</t>
  </si>
  <si>
    <t>Kunnan maksuosuus/seutusuoritteet+rtg</t>
  </si>
  <si>
    <t>Palveluyksikön menot</t>
  </si>
  <si>
    <t>Palveluyksikön tulot</t>
  </si>
  <si>
    <t>Jäsenkuntien ennakot</t>
  </si>
  <si>
    <t>Jäsenkuntien nettomeno</t>
  </si>
  <si>
    <t>Fina</t>
  </si>
  <si>
    <t>Palveluyksikkötason nettomeno (kuntien maksuosuus)</t>
  </si>
  <si>
    <t>Seutusuoritteitten nettomeot, jotka irrotettu avohoitoon siirroista</t>
  </si>
  <si>
    <t>Seutusuoritteitten nettomeno yhteensä</t>
  </si>
  <si>
    <t xml:space="preserve">Röntgenin nettomento </t>
  </si>
  <si>
    <t>Röngen</t>
  </si>
  <si>
    <t>Seututoiminnan nettomenot yhteensä</t>
  </si>
  <si>
    <t>Laskeman mukainen lisäkanto+/palautus-</t>
  </si>
  <si>
    <t>Erotus</t>
  </si>
  <si>
    <t>Avohoitoon-suun terveyteen-vuodeosastoille-seutukustannuksiin vyöryttämättömät erät</t>
  </si>
  <si>
    <t>Kiintestö</t>
  </si>
  <si>
    <t>Kiinteisöt yhteensä</t>
  </si>
  <si>
    <t>PY-hallinnon osuudet</t>
  </si>
  <si>
    <t>Vyäryttämätättä nettona</t>
  </si>
  <si>
    <t>Tästä ½, joka siirretty avoh.</t>
  </si>
  <si>
    <t>Tästä ½, joka siirretty vos</t>
  </si>
  <si>
    <t>Avo+suun tervys+vuodeosastotoiminta(tarkistus)</t>
  </si>
  <si>
    <t>Palveluyksikkötason Fina-listuksen mukainen netto</t>
  </si>
  <si>
    <t>Avosuoritteiden nettomeno (KP)/painokerroin</t>
  </si>
  <si>
    <t>Avohoidon palvelujen maksuosuus yhteensä</t>
  </si>
  <si>
    <t>Apu- ja tarkistuslaskelmat: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</si>
</sst>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1" fontId="0" fillId="0" borderId="0" xfId="0" applyNumberFormat="1"/>
    <xf numFmtId="0" fontId="1" fillId="0" borderId="0" xfId="0" applyFont="1" applyAlignment="1">
      <alignment horizontal="center"/>
    </xf>
    <xf numFmtId="1" fontId="1" fillId="0" borderId="0" xfId="0" applyNumberFormat="1" applyFont="1"/>
    <xf numFmtId="1" fontId="0" fillId="0" borderId="0" xfId="0" applyNumberFormat="1" applyFont="1"/>
    <xf numFmtId="2" fontId="3" fillId="0" borderId="0" xfId="0" applyNumberFormat="1" applyFont="1"/>
    <xf numFmtId="0" fontId="0" fillId="0" borderId="0" xfId="0" applyFont="1"/>
    <xf numFmtId="0" fontId="4" fillId="0" borderId="0" xfId="0" applyFont="1"/>
    <xf numFmtId="1" fontId="4" fillId="0" borderId="0" xfId="0" applyNumberFormat="1" applyFont="1"/>
    <xf numFmtId="0" fontId="4" fillId="0" borderId="0" xfId="0" quotePrefix="1" applyFont="1"/>
    <xf numFmtId="0" fontId="5" fillId="0" borderId="0" xfId="0" quotePrefix="1" applyFont="1"/>
    <xf numFmtId="1" fontId="3" fillId="0" borderId="0" xfId="0" applyNumberFormat="1" applyFont="1"/>
    <xf numFmtId="2" fontId="0" fillId="0" borderId="0" xfId="0" applyNumberFormat="1"/>
    <xf numFmtId="0" fontId="0" fillId="0" borderId="0" xfId="0" quotePrefix="1" applyFont="1"/>
    <xf numFmtId="0" fontId="0" fillId="0" borderId="0" xfId="0" applyFont="1" applyAlignment="1">
      <alignment horizontal="center"/>
    </xf>
    <xf numFmtId="0" fontId="6" fillId="0" borderId="0" xfId="0" quotePrefix="1" applyFont="1"/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1" fontId="9" fillId="0" borderId="0" xfId="0" applyNumberFormat="1" applyFont="1"/>
    <xf numFmtId="1" fontId="8" fillId="0" borderId="0" xfId="0" applyNumberFormat="1" applyFont="1"/>
    <xf numFmtId="1" fontId="2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1" fontId="10" fillId="0" borderId="0" xfId="0" applyNumberFormat="1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1" fillId="0" borderId="0" xfId="0" applyNumberFormat="1" applyFont="1"/>
    <xf numFmtId="0" fontId="1" fillId="0" borderId="0" xfId="0" quotePrefix="1" applyFont="1"/>
    <xf numFmtId="1" fontId="12" fillId="0" borderId="0" xfId="0" applyNumberFormat="1" applyFont="1"/>
    <xf numFmtId="0" fontId="12" fillId="0" borderId="0" xfId="0" applyFont="1"/>
    <xf numFmtId="0" fontId="13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1" fontId="15" fillId="0" borderId="0" xfId="0" applyNumberFormat="1" applyFont="1"/>
    <xf numFmtId="1" fontId="14" fillId="0" borderId="0" xfId="0" applyNumberFormat="1" applyFont="1"/>
    <xf numFmtId="0" fontId="14" fillId="0" borderId="0" xfId="0" applyFont="1"/>
    <xf numFmtId="1" fontId="16" fillId="0" borderId="0" xfId="0" applyNumberFormat="1" applyFont="1"/>
    <xf numFmtId="0" fontId="16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2" fontId="0" fillId="0" borderId="0" xfId="0" applyNumberFormat="1" applyFont="1"/>
    <xf numFmtId="1" fontId="0" fillId="0" borderId="0" xfId="0" applyNumberFormat="1" applyAlignment="1"/>
    <xf numFmtId="0" fontId="2" fillId="0" borderId="0" xfId="0" quotePrefix="1" applyFont="1"/>
    <xf numFmtId="0" fontId="1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11"/>
  <sheetViews>
    <sheetView tabSelected="1" workbookViewId="0">
      <selection activeCell="D4" sqref="D4"/>
    </sheetView>
  </sheetViews>
  <sheetFormatPr defaultRowHeight="15" x14ac:dyDescent="0.25"/>
  <cols>
    <col min="2" max="2" width="18.85546875" customWidth="1"/>
    <col min="3" max="3" width="6.7109375" customWidth="1"/>
    <col min="4" max="4" width="9.28515625" customWidth="1"/>
    <col min="5" max="5" width="10.140625" customWidth="1"/>
    <col min="6" max="6" width="9.5703125" bestFit="1" customWidth="1"/>
    <col min="7" max="7" width="9.7109375" customWidth="1"/>
    <col min="8" max="8" width="9.5703125" bestFit="1" customWidth="1"/>
    <col min="9" max="9" width="9.5703125" customWidth="1"/>
    <col min="10" max="10" width="9.5703125" bestFit="1" customWidth="1"/>
    <col min="11" max="11" width="9.5703125" customWidth="1"/>
    <col min="12" max="12" width="8.42578125" customWidth="1"/>
    <col min="13" max="13" width="11" customWidth="1"/>
    <col min="14" max="14" width="12.140625" customWidth="1"/>
    <col min="15" max="15" width="12" customWidth="1"/>
    <col min="16" max="16" width="10.7109375" customWidth="1"/>
    <col min="17" max="17" width="9.7109375" customWidth="1"/>
    <col min="18" max="18" width="10.7109375" customWidth="1"/>
  </cols>
  <sheetData>
    <row r="1" spans="1:19" ht="18.75" x14ac:dyDescent="0.3">
      <c r="A1" s="23" t="s">
        <v>56</v>
      </c>
    </row>
    <row r="2" spans="1:19" ht="15.75" x14ac:dyDescent="0.25">
      <c r="A2" s="4" t="s">
        <v>55</v>
      </c>
    </row>
    <row r="3" spans="1:19" ht="15.75" x14ac:dyDescent="0.25">
      <c r="A3" s="4" t="s">
        <v>61</v>
      </c>
    </row>
    <row r="4" spans="1:19" x14ac:dyDescent="0.25">
      <c r="A4" s="1"/>
      <c r="D4" s="45">
        <f>SUM(D24+D47+D76)</f>
        <v>6518</v>
      </c>
      <c r="E4" s="46"/>
      <c r="F4" s="45">
        <f>SUM(F24+F47+F76)</f>
        <v>13923</v>
      </c>
      <c r="G4" s="46"/>
      <c r="H4" s="45">
        <f>SUM(H24+H47+H76)</f>
        <v>4217</v>
      </c>
      <c r="I4" s="46"/>
      <c r="J4" s="45">
        <f>SUM(J24+J47+J76)</f>
        <v>7365</v>
      </c>
      <c r="K4" s="46"/>
      <c r="L4" s="45">
        <f>SUM(J4+H4+F4+D4)</f>
        <v>32023</v>
      </c>
    </row>
    <row r="5" spans="1:19" x14ac:dyDescent="0.25">
      <c r="A5" s="1" t="s">
        <v>53</v>
      </c>
    </row>
    <row r="6" spans="1:19" x14ac:dyDescent="0.25">
      <c r="A6" s="1" t="s">
        <v>40</v>
      </c>
      <c r="C6" t="s">
        <v>0</v>
      </c>
      <c r="D6" t="s">
        <v>1</v>
      </c>
      <c r="E6" s="35">
        <v>2015</v>
      </c>
      <c r="N6" s="2"/>
      <c r="O6" s="2"/>
      <c r="P6" s="2"/>
      <c r="Q6" s="2"/>
      <c r="R6" s="2"/>
    </row>
    <row r="7" spans="1:19" x14ac:dyDescent="0.25">
      <c r="A7" t="s">
        <v>6</v>
      </c>
      <c r="C7" t="s">
        <v>7</v>
      </c>
      <c r="D7" s="54" t="s">
        <v>2</v>
      </c>
      <c r="E7" s="54"/>
      <c r="F7" s="54" t="s">
        <v>3</v>
      </c>
      <c r="G7" s="54"/>
      <c r="H7" s="54" t="s">
        <v>4</v>
      </c>
      <c r="I7" s="54"/>
      <c r="J7" s="54" t="s">
        <v>5</v>
      </c>
      <c r="K7" s="54"/>
      <c r="L7" s="54" t="s">
        <v>41</v>
      </c>
      <c r="M7" s="54"/>
    </row>
    <row r="8" spans="1:19" x14ac:dyDescent="0.25">
      <c r="C8" s="2" t="s">
        <v>8</v>
      </c>
      <c r="D8" t="s">
        <v>9</v>
      </c>
      <c r="E8" t="s">
        <v>8</v>
      </c>
      <c r="F8" t="s">
        <v>9</v>
      </c>
      <c r="G8" t="s">
        <v>8</v>
      </c>
      <c r="H8" t="s">
        <v>9</v>
      </c>
      <c r="I8" t="s">
        <v>8</v>
      </c>
      <c r="J8" t="s">
        <v>9</v>
      </c>
      <c r="K8" t="s">
        <v>8</v>
      </c>
      <c r="L8" t="s">
        <v>10</v>
      </c>
      <c r="M8" t="s">
        <v>11</v>
      </c>
      <c r="N8" s="3"/>
      <c r="O8" s="3"/>
      <c r="P8" s="3"/>
      <c r="Q8" s="3"/>
      <c r="R8" s="3"/>
    </row>
    <row r="9" spans="1:19" ht="15.75" x14ac:dyDescent="0.25">
      <c r="A9" s="38" t="s">
        <v>12</v>
      </c>
      <c r="C9" s="2"/>
    </row>
    <row r="10" spans="1:19" x14ac:dyDescent="0.25">
      <c r="A10" t="s">
        <v>13</v>
      </c>
      <c r="C10" s="6">
        <v>42</v>
      </c>
      <c r="D10" s="5">
        <v>348</v>
      </c>
      <c r="E10" s="5">
        <f>SUM(C10*D10)</f>
        <v>14616</v>
      </c>
      <c r="F10" s="5">
        <v>348</v>
      </c>
      <c r="G10" s="5">
        <f>SUM(C10*F10)</f>
        <v>14616</v>
      </c>
      <c r="H10" s="5">
        <v>107</v>
      </c>
      <c r="I10" s="5">
        <f>SUM(H10*C10)</f>
        <v>4494</v>
      </c>
      <c r="J10" s="5">
        <v>176</v>
      </c>
      <c r="K10" s="5">
        <f>SUM(J10*C10)</f>
        <v>7392</v>
      </c>
      <c r="L10" s="5">
        <f>SUM(J10+H10+F10+D10)</f>
        <v>979</v>
      </c>
      <c r="M10" s="5">
        <f>SUM(K10+I10+G10+E10)</f>
        <v>41118</v>
      </c>
      <c r="N10" s="5"/>
      <c r="O10" s="5"/>
      <c r="P10" s="5"/>
      <c r="Q10" s="5"/>
      <c r="S10" s="5"/>
    </row>
    <row r="11" spans="1:19" x14ac:dyDescent="0.25">
      <c r="A11" t="s">
        <v>14</v>
      </c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9" x14ac:dyDescent="0.25">
      <c r="A12" t="s">
        <v>15</v>
      </c>
      <c r="C12" s="6">
        <v>165</v>
      </c>
      <c r="D12" s="5">
        <v>1259</v>
      </c>
      <c r="E12" s="5">
        <f t="shared" ref="E12:E46" si="0">SUM(C12*D12)</f>
        <v>207735</v>
      </c>
      <c r="F12" s="5">
        <v>2822</v>
      </c>
      <c r="G12" s="5">
        <f t="shared" ref="G12:G46" si="1">SUM(C12*F12)</f>
        <v>465630</v>
      </c>
      <c r="H12" s="5">
        <v>1120</v>
      </c>
      <c r="I12" s="5">
        <f t="shared" ref="I12:I46" si="2">SUM(H12*C12)</f>
        <v>184800</v>
      </c>
      <c r="J12" s="5">
        <v>1266</v>
      </c>
      <c r="K12" s="5">
        <f t="shared" ref="K12:K46" si="3">SUM(J12*C12)</f>
        <v>208890</v>
      </c>
      <c r="L12" s="5">
        <f t="shared" ref="L12:M46" si="4">SUM(J12+H12+F12+D12)</f>
        <v>6467</v>
      </c>
      <c r="M12" s="5">
        <f t="shared" si="4"/>
        <v>1067055</v>
      </c>
      <c r="N12" s="5"/>
      <c r="O12" s="5"/>
      <c r="P12" s="5"/>
      <c r="Q12" s="5"/>
      <c r="S12" s="5"/>
    </row>
    <row r="13" spans="1:19" x14ac:dyDescent="0.25">
      <c r="A13" t="s">
        <v>16</v>
      </c>
      <c r="C13" s="6">
        <v>13</v>
      </c>
      <c r="D13" s="5">
        <v>356</v>
      </c>
      <c r="E13" s="5">
        <f t="shared" si="0"/>
        <v>4628</v>
      </c>
      <c r="F13" s="5">
        <v>732</v>
      </c>
      <c r="G13" s="5">
        <f t="shared" si="1"/>
        <v>9516</v>
      </c>
      <c r="H13" s="5">
        <v>368</v>
      </c>
      <c r="I13" s="5">
        <f t="shared" si="2"/>
        <v>4784</v>
      </c>
      <c r="J13" s="5">
        <v>332</v>
      </c>
      <c r="K13" s="5">
        <f t="shared" si="3"/>
        <v>4316</v>
      </c>
      <c r="L13" s="5">
        <f t="shared" si="4"/>
        <v>1788</v>
      </c>
      <c r="M13" s="5">
        <f t="shared" si="4"/>
        <v>23244</v>
      </c>
      <c r="N13" s="5"/>
      <c r="O13" s="5"/>
      <c r="P13" s="5"/>
      <c r="Q13" s="5"/>
      <c r="S13" s="5"/>
    </row>
    <row r="14" spans="1:19" x14ac:dyDescent="0.25">
      <c r="A14" t="s">
        <v>17</v>
      </c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S14" s="5"/>
    </row>
    <row r="15" spans="1:19" x14ac:dyDescent="0.25">
      <c r="A15" t="s">
        <v>60</v>
      </c>
      <c r="C15" s="6">
        <v>41</v>
      </c>
      <c r="D15" s="5">
        <v>1360</v>
      </c>
      <c r="E15" s="5">
        <f t="shared" si="0"/>
        <v>55760</v>
      </c>
      <c r="F15" s="5">
        <v>3058</v>
      </c>
      <c r="G15" s="5">
        <f t="shared" si="1"/>
        <v>125378</v>
      </c>
      <c r="H15" s="5">
        <v>777</v>
      </c>
      <c r="I15" s="5">
        <f t="shared" si="2"/>
        <v>31857</v>
      </c>
      <c r="J15" s="5">
        <v>905</v>
      </c>
      <c r="K15" s="5">
        <f t="shared" si="3"/>
        <v>37105</v>
      </c>
      <c r="L15" s="5">
        <f t="shared" si="4"/>
        <v>6100</v>
      </c>
      <c r="M15" s="5">
        <f t="shared" si="4"/>
        <v>250100</v>
      </c>
      <c r="N15" s="5"/>
      <c r="O15" s="5"/>
      <c r="P15" s="5"/>
      <c r="Q15" s="5"/>
    </row>
    <row r="16" spans="1:19" x14ac:dyDescent="0.25">
      <c r="A16" t="s">
        <v>16</v>
      </c>
      <c r="C16" s="6">
        <v>5</v>
      </c>
      <c r="D16" s="5">
        <v>401</v>
      </c>
      <c r="E16" s="5">
        <f t="shared" si="0"/>
        <v>2005</v>
      </c>
      <c r="F16" s="5">
        <v>1034</v>
      </c>
      <c r="G16" s="5">
        <f t="shared" si="1"/>
        <v>5170</v>
      </c>
      <c r="H16" s="5">
        <v>84</v>
      </c>
      <c r="I16" s="5">
        <f t="shared" si="2"/>
        <v>420</v>
      </c>
      <c r="J16" s="5">
        <v>485</v>
      </c>
      <c r="K16" s="5">
        <f t="shared" si="3"/>
        <v>2425</v>
      </c>
      <c r="L16" s="5">
        <f t="shared" si="4"/>
        <v>2004</v>
      </c>
      <c r="M16" s="5">
        <f t="shared" si="4"/>
        <v>10020</v>
      </c>
      <c r="P16" s="5"/>
      <c r="Q16" s="5"/>
    </row>
    <row r="17" spans="1:19" x14ac:dyDescent="0.25">
      <c r="A17" t="s">
        <v>19</v>
      </c>
      <c r="C17" s="6">
        <v>41</v>
      </c>
      <c r="D17" s="5"/>
      <c r="E17" s="5">
        <f t="shared" si="0"/>
        <v>0</v>
      </c>
      <c r="F17" s="5"/>
      <c r="G17" s="5">
        <f t="shared" si="1"/>
        <v>0</v>
      </c>
      <c r="H17" s="5" t="s">
        <v>59</v>
      </c>
      <c r="I17" s="5"/>
      <c r="J17" s="5"/>
      <c r="K17" s="5">
        <f t="shared" si="3"/>
        <v>0</v>
      </c>
      <c r="L17" s="5"/>
      <c r="M17" s="5">
        <f t="shared" si="4"/>
        <v>0</v>
      </c>
      <c r="P17" s="5"/>
      <c r="Q17" s="5"/>
    </row>
    <row r="18" spans="1:19" x14ac:dyDescent="0.25">
      <c r="A18" t="s">
        <v>20</v>
      </c>
      <c r="C18" s="6">
        <v>33</v>
      </c>
      <c r="D18" s="5">
        <v>118</v>
      </c>
      <c r="E18" s="5">
        <f t="shared" si="0"/>
        <v>3894</v>
      </c>
      <c r="F18" s="5">
        <v>253</v>
      </c>
      <c r="G18" s="5">
        <f t="shared" si="1"/>
        <v>8349</v>
      </c>
      <c r="H18" s="5">
        <v>66</v>
      </c>
      <c r="I18" s="5">
        <f t="shared" si="2"/>
        <v>2178</v>
      </c>
      <c r="J18" s="5">
        <v>89</v>
      </c>
      <c r="K18" s="5">
        <f t="shared" si="3"/>
        <v>2937</v>
      </c>
      <c r="L18" s="5">
        <f t="shared" si="4"/>
        <v>526</v>
      </c>
      <c r="M18" s="5">
        <f t="shared" si="4"/>
        <v>17358</v>
      </c>
      <c r="P18" s="5"/>
      <c r="Q18" s="5"/>
    </row>
    <row r="19" spans="1:19" x14ac:dyDescent="0.25">
      <c r="A19" t="s">
        <v>21</v>
      </c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9" x14ac:dyDescent="0.25">
      <c r="A20" t="s">
        <v>22</v>
      </c>
      <c r="C20" s="6">
        <v>113</v>
      </c>
      <c r="D20" s="5">
        <v>153</v>
      </c>
      <c r="E20" s="5">
        <f t="shared" si="0"/>
        <v>17289</v>
      </c>
      <c r="F20" s="5">
        <v>387</v>
      </c>
      <c r="G20" s="5">
        <f t="shared" si="1"/>
        <v>43731</v>
      </c>
      <c r="H20" s="5">
        <v>159</v>
      </c>
      <c r="I20" s="5">
        <f t="shared" si="2"/>
        <v>17967</v>
      </c>
      <c r="J20" s="5">
        <v>202</v>
      </c>
      <c r="K20" s="5">
        <f t="shared" si="3"/>
        <v>22826</v>
      </c>
      <c r="L20" s="5">
        <f t="shared" si="4"/>
        <v>901</v>
      </c>
      <c r="M20" s="5">
        <f t="shared" si="4"/>
        <v>101813</v>
      </c>
      <c r="P20" s="5"/>
      <c r="Q20" s="5"/>
    </row>
    <row r="21" spans="1:19" x14ac:dyDescent="0.25">
      <c r="A21" t="s">
        <v>23</v>
      </c>
      <c r="C21" s="6">
        <v>113</v>
      </c>
      <c r="D21" s="5">
        <v>422</v>
      </c>
      <c r="E21" s="5">
        <f t="shared" si="0"/>
        <v>47686</v>
      </c>
      <c r="F21" s="5">
        <v>228</v>
      </c>
      <c r="G21" s="5">
        <f t="shared" si="1"/>
        <v>25764</v>
      </c>
      <c r="H21" s="5">
        <v>228</v>
      </c>
      <c r="I21" s="5">
        <f t="shared" si="2"/>
        <v>25764</v>
      </c>
      <c r="J21" s="5">
        <v>403</v>
      </c>
      <c r="K21" s="5">
        <f t="shared" si="3"/>
        <v>45539</v>
      </c>
      <c r="L21" s="5">
        <f t="shared" si="4"/>
        <v>1281</v>
      </c>
      <c r="M21" s="5">
        <f t="shared" si="4"/>
        <v>144753</v>
      </c>
      <c r="P21" s="5"/>
      <c r="Q21" s="5"/>
      <c r="S21" s="5"/>
    </row>
    <row r="22" spans="1:19" x14ac:dyDescent="0.25">
      <c r="A22" t="s">
        <v>24</v>
      </c>
      <c r="C22" s="6">
        <v>24</v>
      </c>
      <c r="D22" s="5">
        <v>51</v>
      </c>
      <c r="E22" s="5">
        <f t="shared" si="0"/>
        <v>1224</v>
      </c>
      <c r="F22" s="5">
        <v>60</v>
      </c>
      <c r="G22" s="5">
        <f t="shared" si="1"/>
        <v>1440</v>
      </c>
      <c r="H22" s="5">
        <v>9</v>
      </c>
      <c r="I22" s="5">
        <f t="shared" si="2"/>
        <v>216</v>
      </c>
      <c r="J22" s="5">
        <v>14</v>
      </c>
      <c r="K22" s="5">
        <f t="shared" si="3"/>
        <v>336</v>
      </c>
      <c r="L22" s="5">
        <f t="shared" si="4"/>
        <v>134</v>
      </c>
      <c r="M22" s="5">
        <f t="shared" si="4"/>
        <v>3216</v>
      </c>
      <c r="Q22" s="5"/>
      <c r="S22" s="5"/>
    </row>
    <row r="23" spans="1:19" x14ac:dyDescent="0.25">
      <c r="A23" t="s">
        <v>25</v>
      </c>
      <c r="C23" s="6">
        <v>153</v>
      </c>
      <c r="D23" s="5">
        <v>235</v>
      </c>
      <c r="E23" s="5">
        <f t="shared" si="0"/>
        <v>35955</v>
      </c>
      <c r="F23" s="5">
        <v>520</v>
      </c>
      <c r="G23" s="5">
        <f t="shared" si="1"/>
        <v>79560</v>
      </c>
      <c r="H23" s="5">
        <v>170</v>
      </c>
      <c r="I23" s="5">
        <f t="shared" si="2"/>
        <v>26010</v>
      </c>
      <c r="J23" s="5">
        <v>210</v>
      </c>
      <c r="K23" s="5">
        <f t="shared" si="3"/>
        <v>32130</v>
      </c>
      <c r="L23" s="5">
        <f t="shared" si="4"/>
        <v>1135</v>
      </c>
      <c r="M23" s="5">
        <f t="shared" si="4"/>
        <v>173655</v>
      </c>
      <c r="O23" s="5"/>
      <c r="P23" s="5"/>
      <c r="Q23" s="5"/>
      <c r="S23" s="5"/>
    </row>
    <row r="24" spans="1:19" x14ac:dyDescent="0.25">
      <c r="A24" s="1" t="s">
        <v>26</v>
      </c>
      <c r="B24" s="1"/>
      <c r="C24" s="1"/>
      <c r="D24" s="7">
        <f t="shared" ref="D24:K24" si="5">SUM(D10:D23)</f>
        <v>4703</v>
      </c>
      <c r="E24" s="7">
        <f t="shared" si="5"/>
        <v>390792</v>
      </c>
      <c r="F24" s="7">
        <f t="shared" si="5"/>
        <v>9442</v>
      </c>
      <c r="G24" s="7">
        <f t="shared" si="5"/>
        <v>779154</v>
      </c>
      <c r="H24" s="7">
        <f t="shared" si="5"/>
        <v>3088</v>
      </c>
      <c r="I24" s="7">
        <f t="shared" si="5"/>
        <v>298490</v>
      </c>
      <c r="J24" s="7">
        <f t="shared" si="5"/>
        <v>4082</v>
      </c>
      <c r="K24" s="7">
        <f t="shared" si="5"/>
        <v>363896</v>
      </c>
      <c r="L24" s="7">
        <f t="shared" si="4"/>
        <v>21315</v>
      </c>
      <c r="M24" s="7">
        <f t="shared" si="4"/>
        <v>1832332</v>
      </c>
      <c r="N24" s="5"/>
      <c r="O24" s="5"/>
      <c r="P24" s="5"/>
      <c r="Q24" s="5"/>
      <c r="R24" s="7"/>
      <c r="S24" s="5"/>
    </row>
    <row r="25" spans="1:19" x14ac:dyDescent="0.25">
      <c r="A25" t="s">
        <v>63</v>
      </c>
      <c r="B25" s="1"/>
      <c r="C25" s="1"/>
      <c r="D25" s="7"/>
      <c r="E25" s="8">
        <f>SUM(E24/D24)</f>
        <v>83.094195194556661</v>
      </c>
      <c r="F25" s="8"/>
      <c r="G25" s="8">
        <f>SUM(G24/F24)</f>
        <v>82.520016945562375</v>
      </c>
      <c r="H25" s="8"/>
      <c r="I25" s="8">
        <f>SUM(I24/H24)</f>
        <v>96.661269430051817</v>
      </c>
      <c r="J25" s="8"/>
      <c r="K25" s="8">
        <f>SUM(K24/J24)</f>
        <v>89.146496815286625</v>
      </c>
      <c r="L25" s="8"/>
      <c r="M25" s="8">
        <f>SUM(M24/L24)</f>
        <v>85.96443818906873</v>
      </c>
      <c r="O25" s="5"/>
      <c r="S25" s="5"/>
    </row>
    <row r="26" spans="1:19" x14ac:dyDescent="0.25">
      <c r="A26" s="10" t="s">
        <v>110</v>
      </c>
      <c r="B26" s="1"/>
      <c r="C26" s="1"/>
      <c r="D26" s="7"/>
      <c r="E26" s="9">
        <f>SUM(E25/$M$25)</f>
        <v>0.96661127490649912</v>
      </c>
      <c r="F26" s="9"/>
      <c r="G26" s="9">
        <f t="shared" ref="G26:K26" si="6">SUM(G25/$M$25)</f>
        <v>0.95993202170494318</v>
      </c>
      <c r="H26" s="9"/>
      <c r="I26" s="9">
        <f t="shared" si="6"/>
        <v>1.1244332129229608</v>
      </c>
      <c r="J26" s="9"/>
      <c r="K26" s="9">
        <f t="shared" si="6"/>
        <v>1.0370159881603522</v>
      </c>
      <c r="L26" s="7"/>
      <c r="M26" s="34">
        <f>2403478.35-(2570359.48-2371392)-D101+25902</f>
        <v>1771409.36</v>
      </c>
      <c r="S26" s="5"/>
    </row>
    <row r="27" spans="1:19" x14ac:dyDescent="0.25">
      <c r="A27" s="10" t="s">
        <v>65</v>
      </c>
      <c r="B27" s="1"/>
      <c r="C27" s="1"/>
      <c r="D27" s="7"/>
      <c r="E27" s="7"/>
      <c r="F27" s="7"/>
      <c r="G27" s="7"/>
      <c r="H27" s="7"/>
      <c r="I27" s="7"/>
      <c r="J27" s="7"/>
      <c r="K27" s="7"/>
      <c r="L27" s="7"/>
      <c r="M27" s="7">
        <f>SUM(M26/L24)</f>
        <v>83.106233169129723</v>
      </c>
      <c r="S27" s="5"/>
    </row>
    <row r="28" spans="1:19" ht="15.75" x14ac:dyDescent="0.25">
      <c r="A28" s="4" t="s">
        <v>84</v>
      </c>
      <c r="B28" s="10"/>
      <c r="C28" s="1"/>
      <c r="D28" s="8"/>
      <c r="E28" s="7">
        <f>SUM($M$27*E26*D24)</f>
        <v>377798.67764854839</v>
      </c>
      <c r="F28" s="7"/>
      <c r="G28" s="7">
        <f>SUM($M$27*G26*F24)</f>
        <v>753248.1496155936</v>
      </c>
      <c r="H28" s="7"/>
      <c r="I28" s="7">
        <f>SUM($M$27*I26*H24)</f>
        <v>288565.59830118128</v>
      </c>
      <c r="J28" s="7"/>
      <c r="K28" s="7">
        <f>SUM($M$27*K26*J24)</f>
        <v>351796.93443467672</v>
      </c>
      <c r="L28" s="7"/>
      <c r="M28" s="7">
        <f>SUM(E28:K28)</f>
        <v>1771409.36</v>
      </c>
      <c r="S28" s="5"/>
    </row>
    <row r="29" spans="1:19" x14ac:dyDescent="0.25">
      <c r="A29" s="1" t="s">
        <v>85</v>
      </c>
      <c r="B29" s="1"/>
      <c r="C29" s="1"/>
      <c r="D29" s="7"/>
      <c r="E29" s="7">
        <f>E83</f>
        <v>93798.811120411876</v>
      </c>
      <c r="F29" s="1"/>
      <c r="G29" s="7">
        <f>G83</f>
        <v>200050.20958355538</v>
      </c>
      <c r="H29" s="1"/>
      <c r="I29" s="7">
        <f>I83</f>
        <v>30611.517721211483</v>
      </c>
      <c r="J29" s="1"/>
      <c r="K29" s="7">
        <f>K83</f>
        <v>51958.911574821235</v>
      </c>
      <c r="L29" s="1"/>
      <c r="M29" s="7">
        <f t="shared" ref="M29:M31" si="7">SUM(E29:K29)</f>
        <v>376419.44999999995</v>
      </c>
      <c r="S29" s="5"/>
    </row>
    <row r="30" spans="1:19" x14ac:dyDescent="0.25">
      <c r="A30" s="35" t="s">
        <v>86</v>
      </c>
      <c r="B30" s="1"/>
      <c r="C30" s="1"/>
      <c r="D30" s="7"/>
      <c r="E30" s="7">
        <f>E77</f>
        <v>14633.684619076183</v>
      </c>
      <c r="F30" s="7"/>
      <c r="G30" s="7">
        <f>G77</f>
        <v>43469.063167366527</v>
      </c>
      <c r="H30" s="7"/>
      <c r="I30" s="7">
        <f>I77</f>
        <v>12311.734661067785</v>
      </c>
      <c r="J30" s="7"/>
      <c r="K30" s="7">
        <f>K77</f>
        <v>19601.577552489503</v>
      </c>
      <c r="L30" s="7"/>
      <c r="M30" s="7">
        <f t="shared" si="7"/>
        <v>90016.06</v>
      </c>
      <c r="S30" s="5"/>
    </row>
    <row r="31" spans="1:19" ht="15.75" x14ac:dyDescent="0.25">
      <c r="A31" s="53" t="s">
        <v>111</v>
      </c>
      <c r="B31" s="4"/>
      <c r="C31" s="4"/>
      <c r="D31" s="28"/>
      <c r="E31" s="28">
        <f>SUM(E28:E30)</f>
        <v>486231.17338803643</v>
      </c>
      <c r="F31" s="28"/>
      <c r="G31" s="28">
        <f>SUM(G28:G30)</f>
        <v>996767.4223665155</v>
      </c>
      <c r="H31" s="28"/>
      <c r="I31" s="28">
        <f>SUM(I28:I30)</f>
        <v>331488.85068346054</v>
      </c>
      <c r="J31" s="28"/>
      <c r="K31" s="28">
        <f>SUM(K28:K30)</f>
        <v>423357.42356198747</v>
      </c>
      <c r="L31" s="28"/>
      <c r="M31" s="28">
        <f t="shared" si="7"/>
        <v>2237844.87</v>
      </c>
      <c r="S31" s="5"/>
    </row>
    <row r="32" spans="1:19" x14ac:dyDescent="0.25">
      <c r="A32" s="13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S32" s="5"/>
    </row>
    <row r="33" spans="1:21" x14ac:dyDescent="0.25">
      <c r="A33" s="13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S33" s="5"/>
    </row>
    <row r="34" spans="1:21" ht="15.75" x14ac:dyDescent="0.25">
      <c r="A34" s="38" t="s">
        <v>27</v>
      </c>
      <c r="C34" s="1"/>
      <c r="D34" s="5"/>
      <c r="E34" s="5"/>
      <c r="F34" s="5"/>
      <c r="G34" s="5"/>
      <c r="H34" s="5"/>
      <c r="I34" s="5"/>
      <c r="J34" s="5"/>
      <c r="K34" s="5"/>
      <c r="L34" s="5"/>
      <c r="M34" s="5"/>
      <c r="S34" s="5"/>
    </row>
    <row r="35" spans="1:21" x14ac:dyDescent="0.25">
      <c r="A35" t="s">
        <v>28</v>
      </c>
      <c r="C35" s="6">
        <v>73</v>
      </c>
      <c r="D35" s="5">
        <v>814</v>
      </c>
      <c r="E35" s="5">
        <f t="shared" si="0"/>
        <v>59422</v>
      </c>
      <c r="F35" s="5">
        <v>1174</v>
      </c>
      <c r="G35" s="5">
        <f t="shared" si="1"/>
        <v>85702</v>
      </c>
      <c r="H35" s="5">
        <v>533</v>
      </c>
      <c r="I35" s="5">
        <f t="shared" si="2"/>
        <v>38909</v>
      </c>
      <c r="J35" s="5">
        <v>805</v>
      </c>
      <c r="K35" s="5">
        <f t="shared" si="3"/>
        <v>58765</v>
      </c>
      <c r="L35" s="5">
        <f t="shared" si="4"/>
        <v>3326</v>
      </c>
      <c r="M35" s="5">
        <f t="shared" si="4"/>
        <v>242798</v>
      </c>
      <c r="N35" s="5"/>
      <c r="O35" s="5"/>
      <c r="P35" s="5"/>
      <c r="Q35" s="5"/>
      <c r="S35" s="5"/>
    </row>
    <row r="36" spans="1:21" x14ac:dyDescent="0.25">
      <c r="A36" t="s">
        <v>29</v>
      </c>
      <c r="C36" s="6">
        <v>33</v>
      </c>
      <c r="D36" s="5">
        <v>340</v>
      </c>
      <c r="E36" s="5">
        <f t="shared" si="0"/>
        <v>11220</v>
      </c>
      <c r="F36" s="5">
        <v>501</v>
      </c>
      <c r="G36" s="5">
        <f t="shared" si="1"/>
        <v>16533</v>
      </c>
      <c r="H36" s="5">
        <v>150</v>
      </c>
      <c r="I36" s="5">
        <f t="shared" si="2"/>
        <v>4950</v>
      </c>
      <c r="J36" s="5">
        <v>215</v>
      </c>
      <c r="K36" s="5">
        <f t="shared" si="3"/>
        <v>7095</v>
      </c>
      <c r="L36" s="5">
        <f t="shared" si="4"/>
        <v>1206</v>
      </c>
      <c r="M36" s="5">
        <f t="shared" si="4"/>
        <v>39798</v>
      </c>
      <c r="N36" s="5"/>
      <c r="O36" s="5"/>
      <c r="P36" s="5"/>
      <c r="Q36" s="5"/>
      <c r="S36" s="5"/>
    </row>
    <row r="37" spans="1:21" x14ac:dyDescent="0.25">
      <c r="A37" s="1" t="s">
        <v>43</v>
      </c>
      <c r="C37" s="2"/>
      <c r="D37" s="7">
        <f>SUM(D35:D36)</f>
        <v>1154</v>
      </c>
      <c r="E37" s="7">
        <f>SUM(E35:E36)</f>
        <v>70642</v>
      </c>
      <c r="F37" s="7">
        <f t="shared" ref="F37:M37" si="8">SUM(F35:F36)</f>
        <v>1675</v>
      </c>
      <c r="G37" s="7">
        <f t="shared" si="8"/>
        <v>102235</v>
      </c>
      <c r="H37" s="7">
        <f t="shared" si="8"/>
        <v>683</v>
      </c>
      <c r="I37" s="7">
        <f t="shared" si="8"/>
        <v>43859</v>
      </c>
      <c r="J37" s="7">
        <f t="shared" si="8"/>
        <v>1020</v>
      </c>
      <c r="K37" s="7">
        <f t="shared" si="8"/>
        <v>65860</v>
      </c>
      <c r="L37" s="7">
        <f t="shared" si="8"/>
        <v>4532</v>
      </c>
      <c r="M37" s="7">
        <f t="shared" si="8"/>
        <v>282596</v>
      </c>
      <c r="N37" s="5"/>
      <c r="O37" s="5"/>
      <c r="P37" s="5"/>
      <c r="Q37" s="5"/>
      <c r="R37" s="7"/>
      <c r="S37" s="5"/>
    </row>
    <row r="38" spans="1:21" x14ac:dyDescent="0.25">
      <c r="A38" t="s">
        <v>63</v>
      </c>
      <c r="C38" s="2"/>
      <c r="D38" s="5"/>
      <c r="E38" s="5">
        <f>SUM(E37/D37)</f>
        <v>61.214904679376083</v>
      </c>
      <c r="F38" s="5"/>
      <c r="G38" s="5">
        <f>SUM(G37/F37)</f>
        <v>61.035820895522392</v>
      </c>
      <c r="H38" s="5"/>
      <c r="I38" s="5">
        <f>SUM(I37/H37)</f>
        <v>64.215226939970719</v>
      </c>
      <c r="J38" s="5"/>
      <c r="K38" s="5">
        <f>SUM(K37/J37)</f>
        <v>64.568627450980387</v>
      </c>
      <c r="L38" s="5"/>
      <c r="M38" s="5">
        <f>SUM(M37/L37)</f>
        <v>62.35569285083848</v>
      </c>
      <c r="S38" s="5"/>
    </row>
    <row r="39" spans="1:21" x14ac:dyDescent="0.25">
      <c r="A39" s="10" t="s">
        <v>64</v>
      </c>
      <c r="C39" s="2"/>
      <c r="D39" s="5"/>
      <c r="E39" s="9">
        <f>SUM(E38/$M$38)</f>
        <v>0.9817051480096407</v>
      </c>
      <c r="F39" s="9"/>
      <c r="G39" s="9">
        <f t="shared" ref="G39:K39" si="9">SUM(G38/$M$38)</f>
        <v>0.97883317633125555</v>
      </c>
      <c r="H39" s="9"/>
      <c r="I39" s="9">
        <f t="shared" si="9"/>
        <v>1.0298214004867277</v>
      </c>
      <c r="J39" s="9"/>
      <c r="K39" s="9">
        <f t="shared" si="9"/>
        <v>1.0354888944211635</v>
      </c>
      <c r="L39" s="5"/>
      <c r="M39" s="34">
        <f>506644.96-(440329.78-317864)</f>
        <v>384179.18</v>
      </c>
      <c r="S39" s="5"/>
    </row>
    <row r="40" spans="1:21" x14ac:dyDescent="0.25">
      <c r="A40" s="10" t="s">
        <v>65</v>
      </c>
      <c r="C40" s="2"/>
      <c r="D40" s="5"/>
      <c r="E40" s="5"/>
      <c r="F40" s="5"/>
      <c r="G40" s="5"/>
      <c r="H40" s="5"/>
      <c r="I40" s="5"/>
      <c r="J40" s="5"/>
      <c r="K40" s="5"/>
      <c r="L40" s="5"/>
      <c r="M40" s="7">
        <f>SUM(M39/L37)</f>
        <v>84.770339805825245</v>
      </c>
      <c r="S40" s="5"/>
    </row>
    <row r="41" spans="1:21" ht="15.75" x14ac:dyDescent="0.25">
      <c r="A41" s="4" t="s">
        <v>67</v>
      </c>
      <c r="B41" s="29"/>
      <c r="C41" s="30"/>
      <c r="D41" s="31"/>
      <c r="E41" s="28">
        <f>SUM($M$40*D37*E39)</f>
        <v>96035.278749734614</v>
      </c>
      <c r="F41" s="28"/>
      <c r="G41" s="28">
        <f>SUM($M$40*F37*G39)</f>
        <v>138984.83512611646</v>
      </c>
      <c r="H41" s="28"/>
      <c r="I41" s="28">
        <f>SUM($M$40*H37*I39)</f>
        <v>59624.745770003821</v>
      </c>
      <c r="J41" s="28"/>
      <c r="K41" s="28">
        <f>SUM($M$40*J37*K39)</f>
        <v>89534.320354145137</v>
      </c>
      <c r="L41" s="28"/>
      <c r="M41" s="28">
        <f>SUM(E41:K41)</f>
        <v>384179.18000000005</v>
      </c>
      <c r="S41" s="5"/>
    </row>
    <row r="42" spans="1:21" x14ac:dyDescent="0.25">
      <c r="A42" s="11"/>
      <c r="B42" s="1"/>
      <c r="C42" s="6"/>
      <c r="D42" s="7"/>
      <c r="S42" s="5"/>
    </row>
    <row r="43" spans="1:21" ht="15.75" x14ac:dyDescent="0.25">
      <c r="A43" s="38" t="s">
        <v>30</v>
      </c>
      <c r="C43" s="2"/>
      <c r="D43" s="5"/>
      <c r="E43" s="5"/>
      <c r="F43" s="5"/>
      <c r="G43" s="5"/>
      <c r="H43" s="5"/>
      <c r="I43" s="5"/>
      <c r="J43" s="5"/>
      <c r="K43" s="5"/>
      <c r="L43" s="5"/>
      <c r="M43" s="5"/>
      <c r="S43" s="5"/>
      <c r="U43" s="5"/>
    </row>
    <row r="44" spans="1:21" x14ac:dyDescent="0.25">
      <c r="A44" t="s">
        <v>31</v>
      </c>
      <c r="C44" s="6">
        <v>180</v>
      </c>
      <c r="D44" s="5">
        <v>803</v>
      </c>
      <c r="E44" s="5">
        <f t="shared" si="0"/>
        <v>144540</v>
      </c>
      <c r="F44" s="5">
        <v>2274</v>
      </c>
      <c r="G44" s="5">
        <f t="shared" si="1"/>
        <v>409320</v>
      </c>
      <c r="H44" s="5">
        <v>678</v>
      </c>
      <c r="I44" s="5">
        <f t="shared" si="2"/>
        <v>122040</v>
      </c>
      <c r="J44" s="5">
        <v>1244</v>
      </c>
      <c r="K44" s="5">
        <f t="shared" si="3"/>
        <v>223920</v>
      </c>
      <c r="L44" s="5">
        <f t="shared" si="4"/>
        <v>4999</v>
      </c>
      <c r="M44" s="5">
        <f>SUM(K44+I44+G44+E44)</f>
        <v>899820</v>
      </c>
      <c r="N44" s="5"/>
      <c r="O44" s="5"/>
      <c r="P44" s="5"/>
      <c r="Q44" s="5"/>
      <c r="S44" s="5"/>
    </row>
    <row r="45" spans="1:21" x14ac:dyDescent="0.25">
      <c r="A45" t="s">
        <v>32</v>
      </c>
      <c r="C45" s="6">
        <v>150</v>
      </c>
      <c r="D45" s="5">
        <v>431</v>
      </c>
      <c r="E45" s="5">
        <f t="shared" si="0"/>
        <v>64650</v>
      </c>
      <c r="F45" s="5">
        <v>947</v>
      </c>
      <c r="G45" s="5">
        <f t="shared" si="1"/>
        <v>142050</v>
      </c>
      <c r="H45" s="5">
        <v>240</v>
      </c>
      <c r="I45" s="5">
        <f t="shared" si="2"/>
        <v>36000</v>
      </c>
      <c r="J45" s="5">
        <v>1694</v>
      </c>
      <c r="K45" s="5">
        <f t="shared" si="3"/>
        <v>254100</v>
      </c>
      <c r="L45" s="5">
        <f t="shared" si="4"/>
        <v>3312</v>
      </c>
      <c r="M45" s="5">
        <f t="shared" si="4"/>
        <v>496800</v>
      </c>
      <c r="N45" s="5"/>
      <c r="O45" s="5"/>
      <c r="P45" s="5"/>
      <c r="Q45" s="5"/>
      <c r="S45" s="5"/>
    </row>
    <row r="46" spans="1:21" x14ac:dyDescent="0.25">
      <c r="A46" t="s">
        <v>33</v>
      </c>
      <c r="C46" s="6">
        <v>90</v>
      </c>
      <c r="D46" s="5">
        <f t="shared" ref="D46" si="10">N46</f>
        <v>0</v>
      </c>
      <c r="E46" s="5">
        <f t="shared" si="0"/>
        <v>0</v>
      </c>
      <c r="F46" s="5">
        <f t="shared" ref="F46:H46" si="11">O46</f>
        <v>0</v>
      </c>
      <c r="G46" s="5">
        <f t="shared" si="1"/>
        <v>0</v>
      </c>
      <c r="H46" s="5">
        <f t="shared" si="11"/>
        <v>0</v>
      </c>
      <c r="I46" s="5">
        <f t="shared" si="2"/>
        <v>0</v>
      </c>
      <c r="J46" s="5">
        <f t="shared" ref="J46" si="12">Q46</f>
        <v>0</v>
      </c>
      <c r="K46" s="5">
        <f t="shared" si="3"/>
        <v>0</v>
      </c>
      <c r="L46" s="5">
        <f t="shared" si="4"/>
        <v>0</v>
      </c>
      <c r="M46" s="5">
        <f t="shared" si="4"/>
        <v>0</v>
      </c>
      <c r="S46" s="5"/>
    </row>
    <row r="47" spans="1:21" x14ac:dyDescent="0.25">
      <c r="A47" s="1" t="s">
        <v>34</v>
      </c>
      <c r="C47" s="6"/>
      <c r="D47" s="7">
        <f>SUM(D44:D46)</f>
        <v>1234</v>
      </c>
      <c r="E47" s="7">
        <f t="shared" ref="E47:M47" si="13">SUM(E44:E46)</f>
        <v>209190</v>
      </c>
      <c r="F47" s="7">
        <f t="shared" si="13"/>
        <v>3221</v>
      </c>
      <c r="G47" s="7">
        <f t="shared" si="13"/>
        <v>551370</v>
      </c>
      <c r="H47" s="7">
        <f t="shared" si="13"/>
        <v>918</v>
      </c>
      <c r="I47" s="7">
        <f t="shared" si="13"/>
        <v>158040</v>
      </c>
      <c r="J47" s="7">
        <f t="shared" si="13"/>
        <v>2938</v>
      </c>
      <c r="K47" s="7">
        <f t="shared" si="13"/>
        <v>478020</v>
      </c>
      <c r="L47" s="7">
        <f t="shared" si="13"/>
        <v>8311</v>
      </c>
      <c r="M47" s="7">
        <f t="shared" si="13"/>
        <v>1396620</v>
      </c>
      <c r="N47" s="5"/>
      <c r="O47" s="5"/>
      <c r="P47" s="5"/>
      <c r="Q47" s="5"/>
      <c r="R47" s="7"/>
      <c r="S47" s="5"/>
    </row>
    <row r="48" spans="1:21" x14ac:dyDescent="0.25">
      <c r="A48" t="s">
        <v>63</v>
      </c>
      <c r="C48" s="6"/>
      <c r="D48" s="5"/>
      <c r="E48" s="5">
        <f>SUM(E47/D47)</f>
        <v>169.52188006482982</v>
      </c>
      <c r="F48" s="5"/>
      <c r="G48" s="5">
        <f>SUM(G47/F47)</f>
        <v>171.17975783918038</v>
      </c>
      <c r="H48" s="5"/>
      <c r="I48" s="5">
        <f>SUM(I47/H47)</f>
        <v>172.15686274509804</v>
      </c>
      <c r="J48" s="5"/>
      <c r="K48" s="5">
        <f>SUM(K47/J47)</f>
        <v>162.70251872021782</v>
      </c>
      <c r="L48" s="5"/>
      <c r="M48" s="5">
        <f>SUM(M47/L47)</f>
        <v>168.04475995668392</v>
      </c>
      <c r="S48" s="5"/>
    </row>
    <row r="49" spans="1:19" x14ac:dyDescent="0.25">
      <c r="A49" s="10" t="s">
        <v>64</v>
      </c>
      <c r="C49" s="6"/>
      <c r="D49" s="5"/>
      <c r="E49" s="9">
        <f>SUM(E48/$M$48)</f>
        <v>1.0087900396806579</v>
      </c>
      <c r="F49" s="16"/>
      <c r="G49" s="9">
        <f>SUM(G48/$M$48)</f>
        <v>1.0186557312665063</v>
      </c>
      <c r="H49" s="16"/>
      <c r="I49" s="9">
        <f>SUM(I48/$M$48)</f>
        <v>1.0244702827358263</v>
      </c>
      <c r="J49" s="16"/>
      <c r="K49" s="9">
        <f>SUM(K48/$M$48)</f>
        <v>0.96820941493300272</v>
      </c>
      <c r="L49" s="5"/>
      <c r="M49" s="34">
        <f>2173755.35-(1800658.76-1491216)+25902</f>
        <v>1890214.59</v>
      </c>
      <c r="S49" s="5"/>
    </row>
    <row r="50" spans="1:19" x14ac:dyDescent="0.25">
      <c r="A50" s="10" t="s">
        <v>65</v>
      </c>
      <c r="C50" s="6"/>
      <c r="D50" s="5"/>
      <c r="E50" s="5"/>
      <c r="F50" s="5"/>
      <c r="G50" s="5"/>
      <c r="H50" s="5"/>
      <c r="I50" s="5"/>
      <c r="J50" s="5"/>
      <c r="K50" s="5"/>
      <c r="L50" s="5"/>
      <c r="M50" s="7">
        <f>SUM(M49/L47)</f>
        <v>227.43527734328001</v>
      </c>
      <c r="S50" s="5"/>
    </row>
    <row r="51" spans="1:19" ht="15.75" x14ac:dyDescent="0.25">
      <c r="A51" s="4" t="s">
        <v>68</v>
      </c>
      <c r="B51" s="29"/>
      <c r="C51" s="33"/>
      <c r="D51" s="31"/>
      <c r="E51" s="28">
        <f>SUM($M$50*D47*E49)</f>
        <v>283122.10199059156</v>
      </c>
      <c r="F51" s="28"/>
      <c r="G51" s="28">
        <f>SUM($M$50*F47*G49)</f>
        <v>746235.63924925902</v>
      </c>
      <c r="H51" s="28"/>
      <c r="I51" s="28">
        <f>SUM($M$50*H47*I49)</f>
        <v>213894.6268874855</v>
      </c>
      <c r="J51" s="28"/>
      <c r="K51" s="28">
        <f>SUM($M$50*J47*K49)</f>
        <v>646962.22187266394</v>
      </c>
      <c r="L51" s="28"/>
      <c r="M51" s="28">
        <f>SUM(E51:K51)</f>
        <v>1890214.5900000003</v>
      </c>
      <c r="S51" s="5"/>
    </row>
    <row r="52" spans="1:19" x14ac:dyDescent="0.25">
      <c r="A52" s="11"/>
      <c r="B52" s="1"/>
      <c r="C52" s="6"/>
      <c r="D52" s="7"/>
      <c r="S52" s="5"/>
    </row>
    <row r="53" spans="1:19" x14ac:dyDescent="0.25">
      <c r="A53" s="11"/>
      <c r="B53" s="1"/>
      <c r="C53" s="6"/>
      <c r="D53" s="7"/>
      <c r="E53" s="12"/>
      <c r="F53" s="7"/>
      <c r="G53" s="12"/>
      <c r="H53" s="7"/>
      <c r="I53" s="12"/>
      <c r="J53" s="7"/>
      <c r="K53" s="12"/>
      <c r="L53" s="7"/>
      <c r="M53" s="12"/>
      <c r="O53" s="5"/>
    </row>
    <row r="54" spans="1:19" ht="18.75" x14ac:dyDescent="0.3">
      <c r="A54" s="23" t="s">
        <v>74</v>
      </c>
      <c r="C54" s="2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9" ht="15.75" x14ac:dyDescent="0.25">
      <c r="A55" s="4" t="s">
        <v>75</v>
      </c>
      <c r="B55" s="29"/>
      <c r="C55" s="30"/>
      <c r="D55" s="31"/>
      <c r="E55" s="31"/>
      <c r="F55" s="31"/>
      <c r="G55" s="31"/>
      <c r="H55" s="31"/>
      <c r="I55" s="31"/>
      <c r="J55" s="31"/>
      <c r="K55" s="31"/>
      <c r="L55" s="31"/>
      <c r="M55" s="42">
        <f>SUM(M81+M77+M49+M39+M26)</f>
        <v>4512238.6400000006</v>
      </c>
      <c r="N55" s="7"/>
    </row>
    <row r="56" spans="1:19" ht="15.75" x14ac:dyDescent="0.25">
      <c r="A56" s="4" t="s">
        <v>76</v>
      </c>
      <c r="B56" s="4"/>
      <c r="C56" s="33"/>
      <c r="D56" s="28"/>
      <c r="E56" s="28">
        <f>SUM(E84,E51,E41,E28)</f>
        <v>865388.55412836256</v>
      </c>
      <c r="F56" s="28"/>
      <c r="G56" s="28">
        <f>SUM(G84,G51,G41,G28)</f>
        <v>1881987.8967418908</v>
      </c>
      <c r="H56" s="28"/>
      <c r="I56" s="28">
        <f>SUM(I84,I51,I41,I28)</f>
        <v>605008.22334094986</v>
      </c>
      <c r="J56" s="28"/>
      <c r="K56" s="28">
        <f>SUM(K84,K51,K41,K28)</f>
        <v>1159853.9657887965</v>
      </c>
      <c r="L56" s="28"/>
      <c r="M56" s="28">
        <f>SUM(E56:K56)</f>
        <v>4512238.6399999997</v>
      </c>
    </row>
    <row r="57" spans="1:19" ht="15.75" x14ac:dyDescent="0.25">
      <c r="A57" s="4" t="s">
        <v>77</v>
      </c>
      <c r="B57" s="1"/>
      <c r="C57" s="6"/>
      <c r="D57" s="7"/>
      <c r="E57" s="7">
        <v>982244</v>
      </c>
      <c r="F57" s="7"/>
      <c r="G57" s="7">
        <v>1657792</v>
      </c>
      <c r="H57" s="7"/>
      <c r="I57" s="7">
        <v>545210</v>
      </c>
      <c r="J57" s="7"/>
      <c r="K57" s="7">
        <v>995201</v>
      </c>
      <c r="L57" s="7"/>
      <c r="M57" s="7">
        <f>SUM(E57:K57)</f>
        <v>4180447</v>
      </c>
      <c r="N57" s="5"/>
    </row>
    <row r="58" spans="1:19" ht="15.75" x14ac:dyDescent="0.25">
      <c r="A58" s="4" t="s">
        <v>78</v>
      </c>
      <c r="B58" s="24"/>
      <c r="C58" s="32"/>
      <c r="D58" s="27"/>
      <c r="E58" s="27">
        <f>E56-E57</f>
        <v>-116855.44587163744</v>
      </c>
      <c r="F58" s="27"/>
      <c r="G58" s="27">
        <f>G56-G57</f>
        <v>224195.89674189081</v>
      </c>
      <c r="H58" s="27"/>
      <c r="I58" s="27">
        <f>I56-I57</f>
        <v>59798.223340949859</v>
      </c>
      <c r="J58" s="27"/>
      <c r="K58" s="27">
        <f>K56-K57</f>
        <v>164652.96578879654</v>
      </c>
      <c r="L58" s="27"/>
      <c r="M58" s="27">
        <f>SUM(E58:K58)</f>
        <v>331791.63999999978</v>
      </c>
      <c r="N58" s="5"/>
      <c r="P58" s="5"/>
    </row>
    <row r="59" spans="1:19" ht="15.75" x14ac:dyDescent="0.25">
      <c r="A59" s="4" t="s">
        <v>82</v>
      </c>
      <c r="B59" s="24"/>
      <c r="C59" s="32"/>
      <c r="D59" s="27"/>
      <c r="E59" s="27">
        <f>SUM(E57:E58)</f>
        <v>865388.55412836256</v>
      </c>
      <c r="F59" s="27"/>
      <c r="G59" s="27">
        <f>SUM(G57:G58)</f>
        <v>1881987.8967418908</v>
      </c>
      <c r="H59" s="27"/>
      <c r="I59" s="27">
        <f>SUM(I57:I58)</f>
        <v>605008.22334094986</v>
      </c>
      <c r="J59" s="27"/>
      <c r="K59" s="27">
        <f>SUM(K57:K58)</f>
        <v>1159853.9657887965</v>
      </c>
      <c r="L59" s="27"/>
      <c r="M59" s="27">
        <f>SUM(M57:M58)</f>
        <v>4512238.6399999997</v>
      </c>
    </row>
    <row r="60" spans="1:19" x14ac:dyDescent="0.25">
      <c r="C60" s="2"/>
      <c r="D60" s="5"/>
      <c r="E60" s="7"/>
      <c r="F60" s="5"/>
      <c r="G60" s="7"/>
      <c r="H60" s="5"/>
      <c r="I60" s="7"/>
      <c r="J60" s="5"/>
      <c r="K60" s="7"/>
      <c r="L60" s="5"/>
      <c r="M60" s="5"/>
    </row>
    <row r="61" spans="1:19" x14ac:dyDescent="0.25">
      <c r="C61" s="2"/>
      <c r="D61" s="5"/>
      <c r="E61" s="7"/>
      <c r="F61" s="5"/>
      <c r="G61" s="7"/>
      <c r="H61" s="5"/>
      <c r="I61" s="7"/>
      <c r="J61" s="5"/>
      <c r="K61" s="7"/>
      <c r="L61" s="5"/>
      <c r="M61" s="5"/>
    </row>
    <row r="62" spans="1:19" x14ac:dyDescent="0.25">
      <c r="C62" s="2"/>
      <c r="D62" s="5"/>
      <c r="E62" s="7"/>
      <c r="F62" s="5"/>
      <c r="G62" s="7"/>
      <c r="H62" s="5"/>
      <c r="I62" s="7"/>
      <c r="J62" s="5"/>
      <c r="K62" s="7"/>
      <c r="L62" s="5"/>
      <c r="M62" s="5"/>
    </row>
    <row r="63" spans="1:19" x14ac:dyDescent="0.25">
      <c r="C63" s="2"/>
      <c r="D63" s="5"/>
      <c r="E63" s="7"/>
      <c r="F63" s="5"/>
      <c r="G63" s="7"/>
      <c r="H63" s="5"/>
      <c r="I63" s="7"/>
      <c r="J63" s="5"/>
      <c r="K63" s="7"/>
      <c r="L63" s="5"/>
      <c r="M63" s="5"/>
    </row>
    <row r="64" spans="1:19" x14ac:dyDescent="0.25">
      <c r="C64" s="2"/>
      <c r="D64" s="5"/>
      <c r="E64" s="7"/>
      <c r="F64" s="5"/>
      <c r="G64" s="7"/>
      <c r="H64" s="5"/>
      <c r="I64" s="7"/>
      <c r="J64" s="5"/>
      <c r="K64" s="7"/>
      <c r="L64" s="5"/>
      <c r="M64" s="5"/>
    </row>
    <row r="65" spans="1:13" x14ac:dyDescent="0.25">
      <c r="C65" s="2"/>
      <c r="D65" s="5"/>
      <c r="E65" s="7"/>
      <c r="F65" s="5"/>
      <c r="G65" s="7"/>
      <c r="H65" s="5"/>
      <c r="I65" s="7"/>
      <c r="J65" s="5"/>
      <c r="K65" s="7"/>
      <c r="L65" s="5"/>
      <c r="M65" s="5"/>
    </row>
    <row r="66" spans="1:13" x14ac:dyDescent="0.25">
      <c r="C66" s="2"/>
      <c r="D66" s="5"/>
      <c r="E66" s="7"/>
      <c r="F66" s="5"/>
      <c r="G66" s="7"/>
      <c r="H66" s="5"/>
      <c r="I66" s="7"/>
      <c r="J66" s="5"/>
      <c r="K66" s="7"/>
      <c r="L66" s="5"/>
      <c r="M66" s="5"/>
    </row>
    <row r="67" spans="1:13" x14ac:dyDescent="0.25">
      <c r="A67" s="20" t="s">
        <v>108</v>
      </c>
      <c r="B67" s="20"/>
      <c r="C67" s="21"/>
      <c r="D67" s="22"/>
      <c r="E67" s="22">
        <f>SUM(E51+E41+E31)</f>
        <v>865388.55412836256</v>
      </c>
      <c r="F67" s="22"/>
      <c r="G67" s="22">
        <f>SUM(G51+G41+G31)</f>
        <v>1881987.896741891</v>
      </c>
      <c r="H67" s="22"/>
      <c r="I67" s="22">
        <f>SUM(I51+I41+I31)</f>
        <v>605008.22334094986</v>
      </c>
      <c r="J67" s="22"/>
      <c r="K67" s="22">
        <f>SUM(K51+K41+K31)</f>
        <v>1159853.9657887965</v>
      </c>
      <c r="L67" s="22"/>
      <c r="M67" s="22">
        <f>SUM(M59:M60)</f>
        <v>4512238.6399999997</v>
      </c>
    </row>
    <row r="68" spans="1:13" x14ac:dyDescent="0.25">
      <c r="C68" s="2"/>
      <c r="D68" s="5"/>
      <c r="E68" s="7"/>
      <c r="F68" s="5"/>
      <c r="G68" s="7"/>
      <c r="H68" s="5"/>
      <c r="I68" s="7"/>
      <c r="J68" s="5"/>
      <c r="K68" s="7"/>
      <c r="L68" s="5"/>
      <c r="M68" s="5"/>
    </row>
    <row r="69" spans="1:13" x14ac:dyDescent="0.25">
      <c r="C69" s="2"/>
      <c r="D69" s="5"/>
      <c r="E69" s="7"/>
      <c r="F69" s="5"/>
      <c r="G69" s="7"/>
      <c r="H69" s="5"/>
      <c r="I69" s="7"/>
      <c r="J69" s="5"/>
      <c r="K69" s="7"/>
      <c r="L69" s="5"/>
      <c r="M69" s="5"/>
    </row>
    <row r="70" spans="1:13" ht="15.75" x14ac:dyDescent="0.25">
      <c r="A70" s="38" t="s">
        <v>42</v>
      </c>
      <c r="C70" s="6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10" t="s">
        <v>35</v>
      </c>
      <c r="C71" s="6">
        <v>24</v>
      </c>
      <c r="D71" s="5">
        <v>52</v>
      </c>
      <c r="E71" s="5">
        <f t="shared" ref="E71:E75" si="14">SUM(C71*D71)</f>
        <v>1248</v>
      </c>
      <c r="F71" s="5">
        <v>143</v>
      </c>
      <c r="G71" s="5">
        <f t="shared" ref="G71:G75" si="15">SUM(C71*F71)</f>
        <v>3432</v>
      </c>
      <c r="H71" s="5">
        <v>57</v>
      </c>
      <c r="I71" s="5">
        <f t="shared" ref="I71:I75" si="16">SUM(H71*C71)</f>
        <v>1368</v>
      </c>
      <c r="J71" s="5">
        <v>69</v>
      </c>
      <c r="K71" s="5">
        <f t="shared" ref="K71:K75" si="17">SUM(J71*C71)</f>
        <v>1656</v>
      </c>
      <c r="L71" s="5">
        <f>SUM(J71+H71+F71+D71)</f>
        <v>321</v>
      </c>
      <c r="M71" s="5">
        <f>SUM(K71+I71+G71+E71)</f>
        <v>7704</v>
      </c>
    </row>
    <row r="72" spans="1:13" x14ac:dyDescent="0.25">
      <c r="A72" s="10" t="s">
        <v>36</v>
      </c>
      <c r="C72" s="6">
        <v>117</v>
      </c>
      <c r="D72" s="5">
        <v>44</v>
      </c>
      <c r="E72" s="5">
        <f t="shared" si="14"/>
        <v>5148</v>
      </c>
      <c r="F72" s="5">
        <v>112</v>
      </c>
      <c r="G72" s="5">
        <f t="shared" si="15"/>
        <v>13104</v>
      </c>
      <c r="H72" s="5">
        <v>3</v>
      </c>
      <c r="I72" s="5">
        <f t="shared" si="16"/>
        <v>351</v>
      </c>
      <c r="J72" s="5">
        <v>24</v>
      </c>
      <c r="K72" s="5">
        <f t="shared" si="17"/>
        <v>2808</v>
      </c>
      <c r="L72" s="5">
        <f t="shared" ref="L72:M75" si="18">SUM(J72+H72+F72+D72)</f>
        <v>183</v>
      </c>
      <c r="M72" s="5">
        <f t="shared" si="18"/>
        <v>21411</v>
      </c>
    </row>
    <row r="73" spans="1:13" x14ac:dyDescent="0.25">
      <c r="A73" s="10" t="s">
        <v>37</v>
      </c>
      <c r="C73" s="6">
        <v>79</v>
      </c>
      <c r="D73" s="5">
        <v>32</v>
      </c>
      <c r="E73" s="5">
        <f t="shared" si="14"/>
        <v>2528</v>
      </c>
      <c r="F73" s="5">
        <v>57</v>
      </c>
      <c r="G73" s="5">
        <f t="shared" si="15"/>
        <v>4503</v>
      </c>
      <c r="H73" s="5">
        <v>27</v>
      </c>
      <c r="I73" s="5">
        <f t="shared" si="16"/>
        <v>2133</v>
      </c>
      <c r="J73" s="5">
        <v>24</v>
      </c>
      <c r="K73" s="5">
        <f t="shared" si="17"/>
        <v>1896</v>
      </c>
      <c r="L73" s="5">
        <f t="shared" si="18"/>
        <v>140</v>
      </c>
      <c r="M73" s="5">
        <f t="shared" si="18"/>
        <v>11060</v>
      </c>
    </row>
    <row r="74" spans="1:13" x14ac:dyDescent="0.25">
      <c r="A74" s="10" t="s">
        <v>38</v>
      </c>
      <c r="C74" s="6">
        <v>248</v>
      </c>
      <c r="D74" s="5">
        <v>386</v>
      </c>
      <c r="E74" s="5">
        <f t="shared" si="14"/>
        <v>95728</v>
      </c>
      <c r="F74" s="5">
        <v>790</v>
      </c>
      <c r="G74" s="5">
        <f t="shared" si="15"/>
        <v>195920</v>
      </c>
      <c r="H74" s="5">
        <v>72</v>
      </c>
      <c r="I74" s="5">
        <f t="shared" si="16"/>
        <v>17856</v>
      </c>
      <c r="J74" s="5">
        <v>165</v>
      </c>
      <c r="K74" s="5">
        <f t="shared" si="17"/>
        <v>40920</v>
      </c>
      <c r="L74" s="5">
        <f t="shared" si="18"/>
        <v>1413</v>
      </c>
      <c r="M74" s="5">
        <f t="shared" si="18"/>
        <v>350424</v>
      </c>
    </row>
    <row r="75" spans="1:13" x14ac:dyDescent="0.25">
      <c r="A75" s="10" t="s">
        <v>39</v>
      </c>
      <c r="C75" s="6">
        <v>413</v>
      </c>
      <c r="D75" s="5">
        <v>67</v>
      </c>
      <c r="E75" s="5">
        <f t="shared" si="14"/>
        <v>27671</v>
      </c>
      <c r="F75" s="5">
        <v>158</v>
      </c>
      <c r="G75" s="5">
        <f t="shared" si="15"/>
        <v>65254</v>
      </c>
      <c r="H75" s="5">
        <v>52</v>
      </c>
      <c r="I75" s="5">
        <f t="shared" si="16"/>
        <v>21476</v>
      </c>
      <c r="J75" s="5">
        <v>63</v>
      </c>
      <c r="K75" s="5">
        <f t="shared" si="17"/>
        <v>26019</v>
      </c>
      <c r="L75" s="5">
        <f t="shared" si="18"/>
        <v>340</v>
      </c>
      <c r="M75" s="5">
        <f t="shared" si="18"/>
        <v>140420</v>
      </c>
    </row>
    <row r="76" spans="1:13" x14ac:dyDescent="0.25">
      <c r="A76" s="1" t="s">
        <v>69</v>
      </c>
      <c r="C76" s="2"/>
      <c r="D76" s="7">
        <f t="shared" ref="D76:L76" si="19">SUM(D71:D75)</f>
        <v>581</v>
      </c>
      <c r="E76" s="7">
        <f t="shared" si="19"/>
        <v>132323</v>
      </c>
      <c r="F76" s="7">
        <f t="shared" si="19"/>
        <v>1260</v>
      </c>
      <c r="G76" s="7">
        <f t="shared" si="19"/>
        <v>282213</v>
      </c>
      <c r="H76" s="7">
        <f t="shared" si="19"/>
        <v>211</v>
      </c>
      <c r="I76" s="7">
        <f t="shared" si="19"/>
        <v>43184</v>
      </c>
      <c r="J76" s="7">
        <f t="shared" si="19"/>
        <v>345</v>
      </c>
      <c r="K76" s="7">
        <f t="shared" si="19"/>
        <v>73299</v>
      </c>
      <c r="L76" s="7">
        <f t="shared" si="19"/>
        <v>2397</v>
      </c>
      <c r="M76" s="7">
        <f>SUM(M71:M75)</f>
        <v>531019</v>
      </c>
    </row>
    <row r="77" spans="1:13" x14ac:dyDescent="0.25">
      <c r="A77" s="1" t="s">
        <v>50</v>
      </c>
      <c r="C77" s="2"/>
      <c r="D77" s="7"/>
      <c r="E77" s="7">
        <f>D79*$M$77</f>
        <v>14633.684619076183</v>
      </c>
      <c r="F77" s="7"/>
      <c r="G77" s="7">
        <f>F79*$M$77</f>
        <v>43469.063167366527</v>
      </c>
      <c r="H77" s="7"/>
      <c r="I77" s="7">
        <f>H79*$M$77</f>
        <v>12311.734661067785</v>
      </c>
      <c r="J77" s="7"/>
      <c r="K77" s="7">
        <f>J79*$M$77</f>
        <v>19601.577552489503</v>
      </c>
      <c r="L77" s="7"/>
      <c r="M77" s="34">
        <f>D100+6510</f>
        <v>90016.06</v>
      </c>
    </row>
    <row r="78" spans="1:13" x14ac:dyDescent="0.25">
      <c r="A78" s="1" t="s">
        <v>51</v>
      </c>
      <c r="C78" s="2"/>
      <c r="D78" s="7">
        <v>271</v>
      </c>
      <c r="E78" s="7"/>
      <c r="F78" s="7">
        <v>805</v>
      </c>
      <c r="G78" s="7"/>
      <c r="H78" s="7">
        <v>228</v>
      </c>
      <c r="I78" s="7"/>
      <c r="J78" s="7">
        <v>363</v>
      </c>
      <c r="K78" s="7"/>
      <c r="L78" s="7">
        <v>1667</v>
      </c>
      <c r="M78" s="34"/>
    </row>
    <row r="79" spans="1:13" x14ac:dyDescent="0.25">
      <c r="A79" s="10" t="s">
        <v>52</v>
      </c>
      <c r="C79" s="2"/>
      <c r="D79" s="40">
        <f>D78/$L$78</f>
        <v>0.16256748650269945</v>
      </c>
      <c r="E79" s="40"/>
      <c r="F79" s="40">
        <f>F78/$L$78</f>
        <v>0.48290341931613678</v>
      </c>
      <c r="G79" s="40"/>
      <c r="H79" s="40">
        <f>H78/$L$78</f>
        <v>0.13677264547090581</v>
      </c>
      <c r="I79" s="40"/>
      <c r="J79" s="40">
        <f>J78/$L$78</f>
        <v>0.21775644871025795</v>
      </c>
      <c r="K79" s="40"/>
      <c r="L79" s="40">
        <f>L78/$L$78</f>
        <v>1</v>
      </c>
      <c r="M79" s="34"/>
    </row>
    <row r="80" spans="1:13" x14ac:dyDescent="0.25">
      <c r="A80" t="s">
        <v>70</v>
      </c>
      <c r="C80" s="2"/>
      <c r="D80" s="5"/>
      <c r="E80" s="5">
        <f>SUM(E76/D76)</f>
        <v>227.75043029259896</v>
      </c>
      <c r="F80" s="5"/>
      <c r="G80" s="5">
        <f>SUM(G76/F76)</f>
        <v>223.97857142857143</v>
      </c>
      <c r="H80" s="5"/>
      <c r="I80" s="5">
        <f>SUM(I76/H76)</f>
        <v>204.66350710900474</v>
      </c>
      <c r="J80" s="5"/>
      <c r="K80" s="5">
        <f>SUM(K76/J76)</f>
        <v>212.46086956521739</v>
      </c>
      <c r="L80" s="5"/>
      <c r="M80" s="5">
        <f>SUM(M76/L76)</f>
        <v>221.53483521068003</v>
      </c>
    </row>
    <row r="81" spans="1:13" x14ac:dyDescent="0.25">
      <c r="A81" s="10" t="s">
        <v>71</v>
      </c>
      <c r="C81" s="2"/>
      <c r="D81" s="5"/>
      <c r="E81" s="9">
        <f>SUM(E80/$M$80)</f>
        <v>1.0280569648380937</v>
      </c>
      <c r="F81" s="5"/>
      <c r="G81" s="9">
        <f>SUM(G80/$M$80)</f>
        <v>1.011030934324922</v>
      </c>
      <c r="H81" s="5"/>
      <c r="I81" s="9">
        <f>SUM(I80/$M$80)</f>
        <v>0.92384345294666359</v>
      </c>
      <c r="J81" s="5"/>
      <c r="K81" s="9">
        <f>SUM(K80/$M$80)</f>
        <v>0.9590404568345503</v>
      </c>
      <c r="L81" s="5"/>
      <c r="M81" s="34">
        <f>E99+922</f>
        <v>376419.45</v>
      </c>
    </row>
    <row r="82" spans="1:13" x14ac:dyDescent="0.25">
      <c r="A82" s="10" t="s">
        <v>72</v>
      </c>
      <c r="C82" s="2"/>
      <c r="D82" s="5"/>
      <c r="E82" s="5"/>
      <c r="F82" s="5"/>
      <c r="G82" s="5"/>
      <c r="H82" s="5"/>
      <c r="I82" s="5"/>
      <c r="J82" s="5"/>
      <c r="K82" s="5"/>
      <c r="L82" s="5"/>
      <c r="M82" s="7">
        <f>SUM(M81/L76)</f>
        <v>157.03773466833542</v>
      </c>
    </row>
    <row r="83" spans="1:13" x14ac:dyDescent="0.25">
      <c r="A83" s="1" t="s">
        <v>85</v>
      </c>
      <c r="B83" s="1"/>
      <c r="C83" s="47"/>
      <c r="D83" s="7"/>
      <c r="E83" s="7">
        <f>SUM($M$82*D76*E81)</f>
        <v>93798.811120411876</v>
      </c>
      <c r="F83" s="7"/>
      <c r="G83" s="7">
        <f>SUM($M$82*F76*G81)</f>
        <v>200050.20958355538</v>
      </c>
      <c r="H83" s="7"/>
      <c r="I83" s="7">
        <f>SUM($M$82*H76*I81)</f>
        <v>30611.517721211483</v>
      </c>
      <c r="J83" s="7"/>
      <c r="K83" s="7">
        <f>SUM($M$82*J76*K81)</f>
        <v>51958.911574821235</v>
      </c>
      <c r="L83" s="7"/>
      <c r="M83" s="12">
        <f>SUM(E83:K83)</f>
        <v>376419.44999999995</v>
      </c>
    </row>
    <row r="84" spans="1:13" ht="15.75" x14ac:dyDescent="0.25">
      <c r="A84" s="4" t="s">
        <v>87</v>
      </c>
      <c r="B84" s="4"/>
      <c r="C84" s="33"/>
      <c r="D84" s="28"/>
      <c r="E84" s="28">
        <f>SUM($M$82*D76*E81+E77)</f>
        <v>108432.49573948806</v>
      </c>
      <c r="F84" s="28"/>
      <c r="G84" s="28">
        <f>SUM($M$82*F76*G81+G77)</f>
        <v>243519.2727509219</v>
      </c>
      <c r="H84" s="28"/>
      <c r="I84" s="28">
        <f>SUM($M$82*H76*I81+I77)</f>
        <v>42923.252382279272</v>
      </c>
      <c r="J84" s="28"/>
      <c r="K84" s="28">
        <f>SUM($M$82*J76*K81+K77)</f>
        <v>71560.489127310735</v>
      </c>
      <c r="L84" s="28"/>
      <c r="M84" s="28">
        <f>SUM(E84:K84)</f>
        <v>466435.50999999995</v>
      </c>
    </row>
    <row r="85" spans="1:13" x14ac:dyDescent="0.25">
      <c r="C85" s="2"/>
      <c r="D85" s="5"/>
      <c r="E85" s="7"/>
      <c r="F85" s="5"/>
      <c r="G85" s="7"/>
      <c r="H85" s="5"/>
      <c r="I85" s="7"/>
      <c r="J85" s="5"/>
      <c r="K85" s="7"/>
      <c r="L85" s="5"/>
      <c r="M85" s="5"/>
    </row>
    <row r="86" spans="1:13" x14ac:dyDescent="0.25">
      <c r="A86" s="11" t="s">
        <v>112</v>
      </c>
      <c r="B86" s="11"/>
      <c r="C86" s="48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x14ac:dyDescent="0.25">
      <c r="A87" s="20"/>
      <c r="B87" s="10"/>
      <c r="C87" s="1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t="s">
        <v>93</v>
      </c>
      <c r="B88" s="10"/>
      <c r="C88" s="18"/>
      <c r="D88" s="8"/>
      <c r="E88" s="8"/>
      <c r="G88" s="8"/>
      <c r="H88" s="8" t="s">
        <v>109</v>
      </c>
      <c r="I88" s="8"/>
      <c r="J88" s="8"/>
      <c r="K88" s="8"/>
      <c r="L88" s="8"/>
      <c r="M88" s="5">
        <v>331709.37</v>
      </c>
    </row>
    <row r="89" spans="1:13" x14ac:dyDescent="0.25">
      <c r="A89" s="10" t="s">
        <v>92</v>
      </c>
      <c r="B89" s="10" t="s">
        <v>88</v>
      </c>
      <c r="C89" s="18"/>
      <c r="D89" s="8">
        <v>6752580.96</v>
      </c>
      <c r="E89" s="8"/>
      <c r="F89" s="8"/>
      <c r="G89" s="8"/>
      <c r="H89" s="8" t="s">
        <v>99</v>
      </c>
      <c r="I89" s="8"/>
      <c r="J89" s="8"/>
      <c r="K89" s="8"/>
      <c r="L89" s="8"/>
      <c r="M89" s="8">
        <f>M58</f>
        <v>331791.63999999978</v>
      </c>
    </row>
    <row r="90" spans="1:13" x14ac:dyDescent="0.25">
      <c r="A90" s="10" t="s">
        <v>92</v>
      </c>
      <c r="B90" s="10" t="s">
        <v>89</v>
      </c>
      <c r="C90" s="10"/>
      <c r="D90" s="8">
        <v>-6420871.5899999999</v>
      </c>
      <c r="E90" s="8"/>
      <c r="F90" s="8"/>
      <c r="G90" s="8"/>
      <c r="H90" s="8" t="s">
        <v>100</v>
      </c>
      <c r="I90" s="8"/>
      <c r="J90" s="8"/>
      <c r="K90" s="8"/>
      <c r="L90" s="8"/>
      <c r="M90" s="7">
        <f>SUM(M88-M89)</f>
        <v>-82.269999999785796</v>
      </c>
    </row>
    <row r="91" spans="1:13" x14ac:dyDescent="0.25">
      <c r="A91" s="10" t="s">
        <v>92</v>
      </c>
      <c r="B91" s="10" t="s">
        <v>90</v>
      </c>
      <c r="C91" s="18"/>
      <c r="D91" s="8">
        <v>4180472</v>
      </c>
      <c r="E91" s="10"/>
      <c r="F91" s="7"/>
      <c r="G91" s="7"/>
      <c r="H91" s="7"/>
      <c r="I91" s="7"/>
      <c r="J91" s="7"/>
      <c r="K91" s="7"/>
      <c r="L91" s="7"/>
      <c r="M91" s="7"/>
    </row>
    <row r="92" spans="1:13" x14ac:dyDescent="0.25">
      <c r="A92" s="11"/>
      <c r="B92" s="49" t="s">
        <v>91</v>
      </c>
      <c r="C92" s="50"/>
      <c r="D92" s="7">
        <f>SUM(D89:D91)</f>
        <v>4512181.37</v>
      </c>
      <c r="E92" s="10"/>
      <c r="F92" s="7"/>
      <c r="G92" s="12"/>
      <c r="H92" s="7"/>
      <c r="I92" s="12"/>
      <c r="J92" s="7"/>
      <c r="K92" s="12"/>
      <c r="L92" s="7"/>
      <c r="M92" s="12"/>
    </row>
    <row r="93" spans="1:13" x14ac:dyDescent="0.25">
      <c r="A93" s="1"/>
      <c r="B93" s="1"/>
      <c r="C93" s="47"/>
      <c r="D93" s="7"/>
      <c r="E93" s="10"/>
      <c r="F93" s="7"/>
      <c r="G93" s="7"/>
      <c r="H93" s="7"/>
      <c r="I93" s="7"/>
      <c r="J93" s="7"/>
      <c r="K93" s="7"/>
      <c r="L93" s="7"/>
      <c r="M93" s="7"/>
    </row>
    <row r="94" spans="1:13" x14ac:dyDescent="0.25">
      <c r="A94" s="17" t="s">
        <v>94</v>
      </c>
      <c r="B94" s="10"/>
      <c r="C94" s="18"/>
      <c r="D94" s="8"/>
      <c r="E94" s="10"/>
      <c r="F94" s="8"/>
      <c r="G94" s="8"/>
      <c r="H94" s="8"/>
      <c r="I94" s="8"/>
      <c r="J94" s="8"/>
      <c r="K94" s="8"/>
      <c r="L94" s="8"/>
      <c r="M94" s="8"/>
    </row>
    <row r="95" spans="1:13" x14ac:dyDescent="0.25">
      <c r="A95" s="19"/>
      <c r="B95" s="10" t="s">
        <v>35</v>
      </c>
      <c r="C95" s="21"/>
      <c r="D95" s="51">
        <v>38353.910000000003</v>
      </c>
      <c r="E95" s="22"/>
      <c r="F95" s="22"/>
      <c r="G95" s="22"/>
      <c r="H95" s="22"/>
      <c r="I95" s="22"/>
      <c r="J95" s="22"/>
      <c r="K95" s="22"/>
      <c r="L95" s="22"/>
      <c r="M95" s="22"/>
    </row>
    <row r="96" spans="1:13" x14ac:dyDescent="0.25">
      <c r="A96" s="10"/>
      <c r="B96" s="10" t="s">
        <v>36</v>
      </c>
      <c r="C96" s="10"/>
      <c r="D96" s="51">
        <v>30318.36</v>
      </c>
      <c r="E96" s="8"/>
      <c r="F96" s="8"/>
      <c r="G96" s="8"/>
      <c r="H96" s="8"/>
      <c r="I96" s="8"/>
      <c r="J96" s="8"/>
      <c r="K96" s="8"/>
      <c r="L96" s="8"/>
      <c r="M96" s="8"/>
    </row>
    <row r="97" spans="1:13" x14ac:dyDescent="0.25">
      <c r="A97" s="10"/>
      <c r="B97" s="10" t="s">
        <v>37</v>
      </c>
      <c r="C97" s="10"/>
      <c r="D97" s="51">
        <v>87265.18</v>
      </c>
      <c r="E97" s="8"/>
      <c r="F97" s="8"/>
      <c r="G97" s="8"/>
      <c r="H97" s="8"/>
      <c r="I97" s="8"/>
      <c r="J97" s="8"/>
      <c r="K97" s="8"/>
      <c r="L97" s="8"/>
      <c r="M97" s="8"/>
    </row>
    <row r="98" spans="1:13" x14ac:dyDescent="0.25">
      <c r="A98" s="10"/>
      <c r="B98" s="10" t="s">
        <v>39</v>
      </c>
      <c r="C98" s="10"/>
      <c r="D98" s="51">
        <v>17715.89</v>
      </c>
      <c r="E98" s="10"/>
      <c r="F98" s="10"/>
      <c r="G98" s="10"/>
      <c r="H98" s="10"/>
      <c r="I98" s="10"/>
      <c r="J98" s="10"/>
      <c r="K98" s="10"/>
      <c r="L98" s="10"/>
      <c r="M98" s="10"/>
    </row>
    <row r="99" spans="1:13" x14ac:dyDescent="0.25">
      <c r="A99" s="10"/>
      <c r="B99" s="10" t="s">
        <v>38</v>
      </c>
      <c r="C99" s="10"/>
      <c r="D99" s="51">
        <v>201844.11</v>
      </c>
      <c r="E99" s="10">
        <f>SUM(D95:D99)</f>
        <v>375497.45</v>
      </c>
      <c r="F99" t="s">
        <v>95</v>
      </c>
      <c r="G99" s="10"/>
      <c r="H99" s="10"/>
      <c r="I99" s="10"/>
      <c r="J99" s="10"/>
      <c r="K99" s="10"/>
      <c r="L99" s="10"/>
      <c r="M99" s="10"/>
    </row>
    <row r="100" spans="1:13" x14ac:dyDescent="0.25">
      <c r="A100" s="10"/>
      <c r="B100" s="10" t="s">
        <v>97</v>
      </c>
      <c r="C100" s="10"/>
      <c r="D100" s="51">
        <v>83506.06</v>
      </c>
      <c r="E100" t="s">
        <v>96</v>
      </c>
      <c r="G100" s="10"/>
      <c r="H100" s="10"/>
      <c r="I100" s="10"/>
      <c r="J100" s="10"/>
      <c r="K100" s="10"/>
      <c r="L100" s="10"/>
      <c r="M100" s="10"/>
    </row>
    <row r="101" spans="1:13" x14ac:dyDescent="0.25">
      <c r="A101" s="10"/>
      <c r="B101" s="10"/>
      <c r="C101" s="10"/>
      <c r="D101" s="51">
        <f>SUM(D95:D100)</f>
        <v>459003.51</v>
      </c>
      <c r="E101" s="10" t="s">
        <v>98</v>
      </c>
      <c r="F101" s="10"/>
      <c r="G101" s="10"/>
      <c r="H101" s="10"/>
      <c r="I101" s="10"/>
      <c r="J101" s="10"/>
      <c r="K101" s="10"/>
      <c r="L101" s="10"/>
      <c r="M101" s="10"/>
    </row>
    <row r="102" spans="1:13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x14ac:dyDescent="0.25">
      <c r="A103" s="10" t="s">
        <v>101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x14ac:dyDescent="0.25">
      <c r="A104" s="10"/>
      <c r="B104" s="10" t="s">
        <v>102</v>
      </c>
      <c r="C104" s="10"/>
      <c r="D104" s="5">
        <v>-28966.53</v>
      </c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x14ac:dyDescent="0.25">
      <c r="A105" s="10"/>
      <c r="B105" s="10" t="s">
        <v>102</v>
      </c>
      <c r="C105" s="10"/>
      <c r="D105" s="5">
        <v>36094.97</v>
      </c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x14ac:dyDescent="0.25">
      <c r="A106" s="10"/>
      <c r="B106" s="10" t="s">
        <v>102</v>
      </c>
      <c r="C106" s="10"/>
      <c r="D106" s="5">
        <v>1489.55</v>
      </c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x14ac:dyDescent="0.25">
      <c r="A107" s="10"/>
      <c r="B107" s="10" t="s">
        <v>103</v>
      </c>
      <c r="C107" s="10"/>
      <c r="D107" s="7">
        <f>SUM(D104:D106)</f>
        <v>8617.9900000000016</v>
      </c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x14ac:dyDescent="0.25">
      <c r="B108" s="10" t="s">
        <v>104</v>
      </c>
      <c r="D108" s="5">
        <v>-60421</v>
      </c>
    </row>
    <row r="109" spans="1:13" x14ac:dyDescent="0.25">
      <c r="B109" s="10" t="s">
        <v>105</v>
      </c>
      <c r="D109" s="7">
        <f>SUM(D107:D108)</f>
        <v>-51803.009999999995</v>
      </c>
    </row>
    <row r="110" spans="1:13" x14ac:dyDescent="0.25">
      <c r="B110" s="10" t="s">
        <v>106</v>
      </c>
      <c r="D110" s="5">
        <f>SUM(D109/2)</f>
        <v>-25901.504999999997</v>
      </c>
    </row>
    <row r="111" spans="1:13" x14ac:dyDescent="0.25">
      <c r="B111" s="10" t="s">
        <v>107</v>
      </c>
      <c r="D111" s="52">
        <f>D110</f>
        <v>-25901.504999999997</v>
      </c>
    </row>
  </sheetData>
  <mergeCells count="5">
    <mergeCell ref="D7:E7"/>
    <mergeCell ref="F7:G7"/>
    <mergeCell ref="H7:I7"/>
    <mergeCell ref="J7:K7"/>
    <mergeCell ref="L7:M7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topLeftCell="A43" workbookViewId="0">
      <selection activeCell="K26" sqref="K26"/>
    </sheetView>
  </sheetViews>
  <sheetFormatPr defaultRowHeight="15" x14ac:dyDescent="0.25"/>
  <cols>
    <col min="2" max="2" width="28.5703125" customWidth="1"/>
    <col min="3" max="3" width="7" customWidth="1"/>
    <col min="4" max="4" width="8.42578125" customWidth="1"/>
    <col min="5" max="5" width="10.140625" customWidth="1"/>
    <col min="6" max="6" width="9.42578125" customWidth="1"/>
    <col min="7" max="7" width="10.42578125" customWidth="1"/>
    <col min="8" max="8" width="9.85546875" customWidth="1"/>
    <col min="9" max="9" width="10.7109375" customWidth="1"/>
    <col min="10" max="10" width="9.5703125" customWidth="1"/>
    <col min="11" max="11" width="12.42578125" customWidth="1"/>
    <col min="12" max="12" width="11.7109375" customWidth="1"/>
    <col min="13" max="13" width="10.85546875" customWidth="1"/>
    <col min="14" max="14" width="11.28515625" customWidth="1"/>
    <col min="15" max="15" width="13" customWidth="1"/>
  </cols>
  <sheetData>
    <row r="1" spans="1:16" ht="18.75" x14ac:dyDescent="0.3">
      <c r="A1" s="23" t="s">
        <v>56</v>
      </c>
    </row>
    <row r="2" spans="1:16" ht="15.75" x14ac:dyDescent="0.25">
      <c r="A2" s="4" t="s">
        <v>55</v>
      </c>
    </row>
    <row r="3" spans="1:16" x14ac:dyDescent="0.25">
      <c r="A3" s="1" t="s">
        <v>61</v>
      </c>
    </row>
    <row r="4" spans="1:16" x14ac:dyDescent="0.25">
      <c r="A4" s="1"/>
      <c r="D4" s="36">
        <f>SUM(D24+D48+D77)</f>
        <v>12076</v>
      </c>
      <c r="E4" s="37"/>
      <c r="F4" s="36">
        <f>SUM(F24+F48+F77)</f>
        <v>9482</v>
      </c>
      <c r="G4" s="37"/>
      <c r="H4" s="36">
        <f>SUM(H24+H48+H77)</f>
        <v>4241</v>
      </c>
      <c r="I4" s="37"/>
      <c r="J4" s="36">
        <f>SUM(J24+J48+J77)</f>
        <v>25799</v>
      </c>
      <c r="K4" s="36">
        <f>SUM(K24+K48+K77)</f>
        <v>2840274</v>
      </c>
    </row>
    <row r="5" spans="1:16" x14ac:dyDescent="0.25">
      <c r="A5" s="1" t="s">
        <v>54</v>
      </c>
    </row>
    <row r="6" spans="1:16" x14ac:dyDescent="0.25">
      <c r="A6" s="1" t="s">
        <v>48</v>
      </c>
      <c r="C6" t="s">
        <v>0</v>
      </c>
      <c r="D6" t="s">
        <v>1</v>
      </c>
      <c r="E6" s="35">
        <v>2015</v>
      </c>
    </row>
    <row r="7" spans="1:16" x14ac:dyDescent="0.25">
      <c r="A7" t="s">
        <v>6</v>
      </c>
      <c r="C7" t="s">
        <v>7</v>
      </c>
      <c r="D7" s="54" t="s">
        <v>46</v>
      </c>
      <c r="E7" s="54"/>
      <c r="F7" s="54" t="s">
        <v>45</v>
      </c>
      <c r="G7" s="54"/>
      <c r="H7" s="54" t="s">
        <v>47</v>
      </c>
      <c r="I7" s="54"/>
      <c r="J7" s="54" t="s">
        <v>41</v>
      </c>
      <c r="K7" s="54"/>
    </row>
    <row r="8" spans="1:16" x14ac:dyDescent="0.25">
      <c r="C8" s="2" t="s">
        <v>8</v>
      </c>
      <c r="D8" t="s">
        <v>9</v>
      </c>
      <c r="E8" t="s">
        <v>8</v>
      </c>
      <c r="F8" t="s">
        <v>9</v>
      </c>
      <c r="G8" t="s">
        <v>8</v>
      </c>
      <c r="H8" t="s">
        <v>9</v>
      </c>
      <c r="I8" t="s">
        <v>8</v>
      </c>
      <c r="J8" t="s">
        <v>10</v>
      </c>
      <c r="K8" t="s">
        <v>11</v>
      </c>
      <c r="L8" s="3"/>
      <c r="M8" s="3"/>
      <c r="N8" s="3"/>
      <c r="O8" s="3"/>
    </row>
    <row r="9" spans="1:16" ht="15.75" x14ac:dyDescent="0.25">
      <c r="A9" s="38" t="s">
        <v>12</v>
      </c>
      <c r="C9" s="2"/>
    </row>
    <row r="10" spans="1:16" x14ac:dyDescent="0.25">
      <c r="A10" t="s">
        <v>13</v>
      </c>
      <c r="C10" s="6">
        <v>50</v>
      </c>
      <c r="D10" s="5">
        <v>280</v>
      </c>
      <c r="E10" s="5">
        <f>SUM(C10*D10)</f>
        <v>14000</v>
      </c>
      <c r="F10" s="5">
        <v>145</v>
      </c>
      <c r="G10" s="5">
        <f>SUM(C10*F10)</f>
        <v>7250</v>
      </c>
      <c r="H10" s="5">
        <v>80</v>
      </c>
      <c r="I10" s="5">
        <f>SUM(H10*C10)</f>
        <v>4000</v>
      </c>
      <c r="J10" s="5">
        <f>SUM(H10+D10+F10)</f>
        <v>505</v>
      </c>
      <c r="K10" s="5">
        <f>SUM(I10+E10+G10)</f>
        <v>25250</v>
      </c>
      <c r="L10" s="5"/>
      <c r="M10" s="5"/>
      <c r="N10" s="5"/>
      <c r="P10" s="5"/>
    </row>
    <row r="11" spans="1:16" x14ac:dyDescent="0.25">
      <c r="A11" t="s">
        <v>14</v>
      </c>
      <c r="C11" s="6"/>
      <c r="D11" s="5"/>
      <c r="E11" s="5"/>
      <c r="F11" s="5"/>
      <c r="G11" s="5"/>
      <c r="H11" s="5"/>
      <c r="I11" s="5"/>
      <c r="J11" s="5"/>
      <c r="K11" s="5"/>
    </row>
    <row r="12" spans="1:16" x14ac:dyDescent="0.25">
      <c r="A12" t="s">
        <v>15</v>
      </c>
      <c r="C12" s="6">
        <v>144</v>
      </c>
      <c r="D12" s="5">
        <v>2097</v>
      </c>
      <c r="E12" s="5">
        <f>SUM(C12*D12)</f>
        <v>301968</v>
      </c>
      <c r="F12" s="5">
        <v>1628</v>
      </c>
      <c r="G12" s="5">
        <f>SUM(C12*F12)</f>
        <v>234432</v>
      </c>
      <c r="H12" s="5">
        <v>1060</v>
      </c>
      <c r="I12" s="5">
        <f t="shared" ref="I12:I47" si="0">SUM(H12*C12)</f>
        <v>152640</v>
      </c>
      <c r="J12" s="5">
        <f>SUM(H12+D12+F12)</f>
        <v>4785</v>
      </c>
      <c r="K12" s="5">
        <f>SUM(I12+E12+G12)</f>
        <v>689040</v>
      </c>
      <c r="L12" s="5"/>
      <c r="M12" s="5"/>
      <c r="N12" s="5"/>
      <c r="P12" s="5"/>
    </row>
    <row r="13" spans="1:16" x14ac:dyDescent="0.25">
      <c r="A13" t="s">
        <v>16</v>
      </c>
      <c r="C13" s="6">
        <v>13</v>
      </c>
      <c r="D13" s="5">
        <v>662</v>
      </c>
      <c r="E13" s="5">
        <f>SUM(C13*D13)</f>
        <v>8606</v>
      </c>
      <c r="F13" s="5">
        <v>265</v>
      </c>
      <c r="G13" s="5">
        <f>SUM(C13*F13)</f>
        <v>3445</v>
      </c>
      <c r="H13" s="5">
        <v>211</v>
      </c>
      <c r="I13" s="5">
        <f t="shared" si="0"/>
        <v>2743</v>
      </c>
      <c r="J13" s="5">
        <f>SUM(H13+D13+F13)</f>
        <v>1138</v>
      </c>
      <c r="K13" s="5">
        <f>SUM(I13+E13+G13)</f>
        <v>14794</v>
      </c>
      <c r="L13" s="5"/>
      <c r="M13" s="5"/>
      <c r="N13" s="5"/>
      <c r="P13" s="5"/>
    </row>
    <row r="14" spans="1:16" x14ac:dyDescent="0.25">
      <c r="A14" t="s">
        <v>17</v>
      </c>
      <c r="C14" s="6"/>
      <c r="D14" s="5"/>
      <c r="E14" s="5"/>
      <c r="F14" s="5"/>
      <c r="G14" s="5"/>
      <c r="H14" s="5"/>
      <c r="I14" s="5"/>
      <c r="J14" s="5"/>
      <c r="K14" s="5"/>
      <c r="P14" s="5"/>
    </row>
    <row r="15" spans="1:16" x14ac:dyDescent="0.25">
      <c r="A15" t="s">
        <v>62</v>
      </c>
      <c r="C15" s="6">
        <v>29</v>
      </c>
      <c r="D15" s="5">
        <v>2277</v>
      </c>
      <c r="E15" s="5">
        <f>SUM(C15*D15)</f>
        <v>66033</v>
      </c>
      <c r="F15" s="5">
        <v>2094</v>
      </c>
      <c r="G15" s="5">
        <f>SUM(C15*F15)</f>
        <v>60726</v>
      </c>
      <c r="H15" s="5">
        <v>1172</v>
      </c>
      <c r="I15" s="5">
        <f t="shared" si="0"/>
        <v>33988</v>
      </c>
      <c r="J15" s="5">
        <f t="shared" ref="J15:K18" si="1">SUM(H15+D15+F15)</f>
        <v>5543</v>
      </c>
      <c r="K15" s="5">
        <f t="shared" si="1"/>
        <v>160747</v>
      </c>
      <c r="L15" s="5"/>
      <c r="M15" s="5"/>
      <c r="N15" s="5"/>
      <c r="P15" s="5"/>
    </row>
    <row r="16" spans="1:16" x14ac:dyDescent="0.25">
      <c r="A16" t="s">
        <v>16</v>
      </c>
      <c r="C16" s="6">
        <v>5</v>
      </c>
      <c r="D16" s="5">
        <v>1216</v>
      </c>
      <c r="E16" s="5">
        <f>SUM(C16*D16)</f>
        <v>6080</v>
      </c>
      <c r="F16" s="5">
        <v>1699</v>
      </c>
      <c r="G16" s="5">
        <f>SUM(C16*F16)</f>
        <v>8495</v>
      </c>
      <c r="H16" s="5">
        <v>518</v>
      </c>
      <c r="I16" s="5">
        <f t="shared" si="0"/>
        <v>2590</v>
      </c>
      <c r="J16" s="5">
        <f t="shared" si="1"/>
        <v>3433</v>
      </c>
      <c r="K16" s="5">
        <f t="shared" si="1"/>
        <v>17165</v>
      </c>
      <c r="L16" s="5"/>
      <c r="M16" s="5"/>
      <c r="N16" s="5"/>
      <c r="P16" s="5"/>
    </row>
    <row r="17" spans="1:16" x14ac:dyDescent="0.25">
      <c r="A17" t="s">
        <v>19</v>
      </c>
      <c r="C17" s="6">
        <v>29</v>
      </c>
      <c r="D17" s="5">
        <v>0</v>
      </c>
      <c r="E17" s="5">
        <f>SUM(C17*D17)</f>
        <v>0</v>
      </c>
      <c r="F17" s="5">
        <v>0</v>
      </c>
      <c r="G17" s="5">
        <f>SUM(C17*F17)</f>
        <v>0</v>
      </c>
      <c r="H17" s="5">
        <v>0</v>
      </c>
      <c r="I17" s="5">
        <f t="shared" si="0"/>
        <v>0</v>
      </c>
      <c r="J17" s="5">
        <f t="shared" si="1"/>
        <v>0</v>
      </c>
      <c r="K17" s="5">
        <f t="shared" si="1"/>
        <v>0</v>
      </c>
      <c r="L17" s="5"/>
      <c r="M17" s="5"/>
      <c r="N17" s="5"/>
      <c r="P17" s="5"/>
    </row>
    <row r="18" spans="1:16" x14ac:dyDescent="0.25">
      <c r="A18" t="s">
        <v>20</v>
      </c>
      <c r="C18" s="6">
        <v>56</v>
      </c>
      <c r="D18" s="5">
        <v>162</v>
      </c>
      <c r="E18" s="5">
        <f>SUM(C18*D18)</f>
        <v>9072</v>
      </c>
      <c r="F18" s="5">
        <v>133</v>
      </c>
      <c r="G18" s="5">
        <f>SUM(C18*F18)</f>
        <v>7448</v>
      </c>
      <c r="H18" s="5">
        <v>58</v>
      </c>
      <c r="I18" s="5">
        <f t="shared" si="0"/>
        <v>3248</v>
      </c>
      <c r="J18" s="5">
        <f t="shared" si="1"/>
        <v>353</v>
      </c>
      <c r="K18" s="5">
        <f t="shared" si="1"/>
        <v>19768</v>
      </c>
      <c r="L18" s="5"/>
      <c r="M18" s="5"/>
      <c r="N18" s="5"/>
      <c r="P18" s="5"/>
    </row>
    <row r="19" spans="1:16" x14ac:dyDescent="0.25">
      <c r="A19" t="s">
        <v>21</v>
      </c>
      <c r="C19" s="6"/>
      <c r="D19" s="5"/>
      <c r="E19" s="5"/>
      <c r="F19" s="5"/>
      <c r="G19" s="5"/>
      <c r="H19" s="5"/>
      <c r="I19" s="5"/>
      <c r="J19" s="5"/>
      <c r="K19" s="5"/>
      <c r="P19" s="5"/>
    </row>
    <row r="20" spans="1:16" x14ac:dyDescent="0.25">
      <c r="A20" t="s">
        <v>22</v>
      </c>
      <c r="C20" s="6">
        <v>106</v>
      </c>
      <c r="D20" s="5">
        <v>407</v>
      </c>
      <c r="E20" s="5">
        <f>SUM(C20*D20)</f>
        <v>43142</v>
      </c>
      <c r="F20" s="5">
        <v>300</v>
      </c>
      <c r="G20" s="5">
        <f>SUM(C20*F20)</f>
        <v>31800</v>
      </c>
      <c r="H20" s="5">
        <v>199</v>
      </c>
      <c r="I20" s="5">
        <f t="shared" si="0"/>
        <v>21094</v>
      </c>
      <c r="J20" s="5">
        <f t="shared" ref="J20:K24" si="2">SUM(H20+D20+F20)</f>
        <v>906</v>
      </c>
      <c r="K20" s="5">
        <f t="shared" si="2"/>
        <v>96036</v>
      </c>
      <c r="L20" s="5"/>
      <c r="M20" s="5"/>
      <c r="N20" s="5"/>
      <c r="P20" s="5"/>
    </row>
    <row r="21" spans="1:16" x14ac:dyDescent="0.25">
      <c r="A21" t="s">
        <v>23</v>
      </c>
      <c r="C21" s="6">
        <v>106</v>
      </c>
      <c r="D21" s="5">
        <v>614</v>
      </c>
      <c r="E21" s="5">
        <f>SUM(C21*D21)</f>
        <v>65084</v>
      </c>
      <c r="F21" s="5">
        <v>153</v>
      </c>
      <c r="G21" s="5">
        <f>SUM(C21*F21)</f>
        <v>16218</v>
      </c>
      <c r="H21" s="5">
        <v>61</v>
      </c>
      <c r="I21" s="5">
        <f t="shared" si="0"/>
        <v>6466</v>
      </c>
      <c r="J21" s="5">
        <f t="shared" si="2"/>
        <v>828</v>
      </c>
      <c r="K21" s="5">
        <f t="shared" si="2"/>
        <v>87768</v>
      </c>
      <c r="L21" s="5"/>
      <c r="M21" s="5"/>
      <c r="N21" s="5"/>
      <c r="P21" s="5"/>
    </row>
    <row r="22" spans="1:16" x14ac:dyDescent="0.25">
      <c r="A22" t="s">
        <v>24</v>
      </c>
      <c r="C22" s="6">
        <v>26</v>
      </c>
      <c r="D22" s="5">
        <v>125</v>
      </c>
      <c r="E22" s="5">
        <f>SUM(C22*D22)</f>
        <v>3250</v>
      </c>
      <c r="F22" s="5">
        <v>70</v>
      </c>
      <c r="G22" s="5">
        <f>SUM(C22*F22)</f>
        <v>1820</v>
      </c>
      <c r="H22" s="5">
        <v>23</v>
      </c>
      <c r="I22" s="5">
        <f t="shared" si="0"/>
        <v>598</v>
      </c>
      <c r="J22" s="5">
        <f t="shared" si="2"/>
        <v>218</v>
      </c>
      <c r="K22" s="5">
        <f t="shared" si="2"/>
        <v>5668</v>
      </c>
      <c r="L22" s="5"/>
      <c r="M22" s="5"/>
      <c r="N22" s="5"/>
      <c r="P22" s="5"/>
    </row>
    <row r="23" spans="1:16" x14ac:dyDescent="0.25">
      <c r="A23" t="s">
        <v>25</v>
      </c>
      <c r="C23" s="6">
        <v>119</v>
      </c>
      <c r="D23" s="5">
        <v>309</v>
      </c>
      <c r="E23" s="5">
        <f>SUM(C23*D23)</f>
        <v>36771</v>
      </c>
      <c r="F23" s="5">
        <v>139</v>
      </c>
      <c r="G23" s="5">
        <f>SUM(C23*F23)</f>
        <v>16541</v>
      </c>
      <c r="H23" s="5">
        <v>309</v>
      </c>
      <c r="I23" s="5">
        <f t="shared" si="0"/>
        <v>36771</v>
      </c>
      <c r="J23" s="5">
        <f t="shared" si="2"/>
        <v>757</v>
      </c>
      <c r="K23" s="5">
        <f t="shared" si="2"/>
        <v>90083</v>
      </c>
      <c r="L23" s="5"/>
      <c r="M23" s="5"/>
      <c r="N23" s="5"/>
      <c r="P23" s="5"/>
    </row>
    <row r="24" spans="1:16" x14ac:dyDescent="0.25">
      <c r="A24" s="1" t="s">
        <v>26</v>
      </c>
      <c r="B24" s="1"/>
      <c r="C24" s="1"/>
      <c r="D24" s="7">
        <f>SUM(D10:D23)</f>
        <v>8149</v>
      </c>
      <c r="E24" s="7">
        <f>SUM(E10:E23)</f>
        <v>554006</v>
      </c>
      <c r="F24" s="7">
        <f>SUM(F10:F23)</f>
        <v>6626</v>
      </c>
      <c r="G24" s="7">
        <f>SUM(G10:G23)</f>
        <v>388175</v>
      </c>
      <c r="H24" s="7">
        <f t="shared" ref="H24:I24" si="3">SUM(H10:H23)</f>
        <v>3691</v>
      </c>
      <c r="I24" s="7">
        <f t="shared" si="3"/>
        <v>264138</v>
      </c>
      <c r="J24" s="5">
        <f t="shared" si="2"/>
        <v>18466</v>
      </c>
      <c r="K24" s="5">
        <f>SUM(I24+E24+G24)</f>
        <v>1206319</v>
      </c>
      <c r="L24" s="5"/>
      <c r="M24" s="5"/>
      <c r="N24" s="5"/>
      <c r="O24" s="7"/>
      <c r="P24" s="5"/>
    </row>
    <row r="25" spans="1:16" x14ac:dyDescent="0.25">
      <c r="A25" t="s">
        <v>63</v>
      </c>
      <c r="B25" s="1"/>
      <c r="C25" s="1"/>
      <c r="D25" s="8"/>
      <c r="E25" s="8">
        <f>SUM(E24/D24)</f>
        <v>67.984537980120265</v>
      </c>
      <c r="F25" s="7"/>
      <c r="G25" s="8">
        <f>SUM(G24/F24)</f>
        <v>58.583610021128884</v>
      </c>
      <c r="H25" s="8"/>
      <c r="I25" s="8">
        <f>SUM(I24/H24)</f>
        <v>71.56272013004606</v>
      </c>
      <c r="J25" s="8"/>
      <c r="K25" s="8">
        <f>SUM(K24/J24)</f>
        <v>65.326491931116649</v>
      </c>
      <c r="P25" s="5"/>
    </row>
    <row r="26" spans="1:16" x14ac:dyDescent="0.25">
      <c r="A26" s="10" t="s">
        <v>64</v>
      </c>
      <c r="B26" s="1"/>
      <c r="C26" s="1"/>
      <c r="D26" s="9"/>
      <c r="E26" s="9">
        <f>SUM(E25/$K$25)</f>
        <v>1.0406886390257475</v>
      </c>
      <c r="F26" s="7"/>
      <c r="G26" s="9">
        <f>SUM(G25/$K$25)</f>
        <v>0.89678181529940748</v>
      </c>
      <c r="H26" s="9"/>
      <c r="I26" s="9">
        <f>SUM(I25/$K$25)</f>
        <v>1.0954624688174774</v>
      </c>
      <c r="J26" s="7"/>
      <c r="K26" s="34">
        <f>1864179.91-(1860257.99-1744040)-D103-D111</f>
        <v>1583236.9749999999</v>
      </c>
      <c r="L26" s="5"/>
      <c r="P26" s="5"/>
    </row>
    <row r="27" spans="1:16" x14ac:dyDescent="0.25">
      <c r="A27" s="10" t="s">
        <v>65</v>
      </c>
      <c r="B27" s="1"/>
      <c r="C27" s="1"/>
      <c r="D27" s="7"/>
      <c r="E27" s="7"/>
      <c r="F27" s="7"/>
      <c r="G27" s="7"/>
      <c r="H27" s="7"/>
      <c r="I27" s="7"/>
      <c r="J27" s="7"/>
      <c r="K27" s="7">
        <f>SUM(K26/J24)</f>
        <v>85.737949474710277</v>
      </c>
      <c r="P27" s="5"/>
    </row>
    <row r="28" spans="1:16" ht="15.75" x14ac:dyDescent="0.25">
      <c r="A28" s="4" t="s">
        <v>66</v>
      </c>
      <c r="C28" s="1"/>
      <c r="D28" s="7"/>
      <c r="E28" s="12">
        <f>SUM($K$27*E26*D24)</f>
        <v>727106.82959635882</v>
      </c>
      <c r="F28" s="12"/>
      <c r="G28" s="12">
        <f>SUM($K$27*G26*F24)</f>
        <v>509461.43828508462</v>
      </c>
      <c r="H28" s="12"/>
      <c r="I28" s="12">
        <f>SUM($K$27*I26*H24)</f>
        <v>346668.70711855654</v>
      </c>
      <c r="J28" s="12"/>
      <c r="K28" s="12">
        <f>SUM(E28:I28)</f>
        <v>1583236.9750000001</v>
      </c>
      <c r="P28" s="5"/>
    </row>
    <row r="29" spans="1:16" x14ac:dyDescent="0.25">
      <c r="A29" s="1" t="s">
        <v>85</v>
      </c>
      <c r="B29" s="1"/>
      <c r="C29" s="1"/>
      <c r="D29" s="7"/>
      <c r="E29" s="7">
        <f>E84</f>
        <v>75380.932067055372</v>
      </c>
      <c r="F29" s="1"/>
      <c r="G29" s="7">
        <f>G84</f>
        <v>29789.86439892097</v>
      </c>
      <c r="H29" s="1"/>
      <c r="I29" s="7">
        <f>I84</f>
        <v>9293.3335340236572</v>
      </c>
      <c r="J29" s="1"/>
      <c r="K29" s="7">
        <f t="shared" ref="K29:K31" si="4">SUM(E29:I29)</f>
        <v>114464.12999999999</v>
      </c>
      <c r="P29" s="5"/>
    </row>
    <row r="30" spans="1:16" x14ac:dyDescent="0.25">
      <c r="A30" s="35" t="s">
        <v>86</v>
      </c>
      <c r="B30" s="1"/>
      <c r="C30" s="1"/>
      <c r="D30" s="7"/>
      <c r="E30" s="7">
        <f>E78</f>
        <v>26164.271273653565</v>
      </c>
      <c r="F30" s="7"/>
      <c r="G30" s="7">
        <f>G78</f>
        <v>19594.217925764195</v>
      </c>
      <c r="H30" s="7"/>
      <c r="I30" s="7">
        <f>I78</f>
        <v>7343.0008005822419</v>
      </c>
      <c r="J30" s="7"/>
      <c r="K30" s="7">
        <f t="shared" si="4"/>
        <v>53101.490000000005</v>
      </c>
      <c r="P30" s="5"/>
    </row>
    <row r="31" spans="1:16" ht="15.75" x14ac:dyDescent="0.25">
      <c r="A31" s="53" t="s">
        <v>111</v>
      </c>
      <c r="B31" s="4"/>
      <c r="C31" s="4"/>
      <c r="D31" s="28"/>
      <c r="E31" s="28">
        <f>SUM(E28:E30)</f>
        <v>828652.03293706779</v>
      </c>
      <c r="F31" s="28"/>
      <c r="G31" s="28">
        <f>SUM(G28:G30)</f>
        <v>558845.52060976974</v>
      </c>
      <c r="H31" s="28"/>
      <c r="I31" s="28">
        <f>SUM(I28:I30)</f>
        <v>363305.04145316244</v>
      </c>
      <c r="J31" s="28"/>
      <c r="K31" s="28">
        <f t="shared" si="4"/>
        <v>1750802.595</v>
      </c>
      <c r="P31" s="5"/>
    </row>
    <row r="32" spans="1:16" x14ac:dyDescent="0.25">
      <c r="A32" s="13"/>
      <c r="B32" s="11"/>
      <c r="C32" s="11"/>
      <c r="D32" s="12"/>
      <c r="E32" s="12"/>
      <c r="F32" s="12"/>
      <c r="G32" s="12"/>
      <c r="H32" s="12"/>
      <c r="I32" s="12"/>
      <c r="J32" s="12"/>
      <c r="K32" s="12"/>
      <c r="P32" s="5"/>
    </row>
    <row r="33" spans="1:18" x14ac:dyDescent="0.25">
      <c r="A33" s="13"/>
      <c r="B33" s="11"/>
      <c r="C33" s="11"/>
      <c r="D33" s="12"/>
      <c r="E33" s="12"/>
      <c r="F33" s="12"/>
      <c r="G33" s="12"/>
      <c r="H33" s="12"/>
      <c r="I33" s="12"/>
      <c r="J33" s="12"/>
      <c r="K33" s="12"/>
      <c r="P33" s="5"/>
    </row>
    <row r="34" spans="1:18" x14ac:dyDescent="0.25">
      <c r="A34" s="13"/>
      <c r="B34" s="11"/>
      <c r="C34" s="11"/>
      <c r="D34" s="12"/>
      <c r="E34" s="12"/>
      <c r="F34" s="12"/>
      <c r="G34" s="12"/>
      <c r="H34" s="12"/>
      <c r="I34" s="12"/>
      <c r="J34" s="12"/>
      <c r="K34" s="12"/>
      <c r="P34" s="5"/>
    </row>
    <row r="35" spans="1:18" ht="15.75" x14ac:dyDescent="0.25">
      <c r="A35" s="38" t="s">
        <v>27</v>
      </c>
      <c r="C35" s="1"/>
      <c r="D35" s="5"/>
      <c r="E35" s="5"/>
      <c r="F35" s="5"/>
      <c r="G35" s="5"/>
      <c r="H35" s="5"/>
      <c r="I35" s="5"/>
      <c r="J35" s="5"/>
      <c r="K35" s="5"/>
      <c r="P35" s="5"/>
    </row>
    <row r="36" spans="1:18" x14ac:dyDescent="0.25">
      <c r="A36" t="s">
        <v>28</v>
      </c>
      <c r="C36" s="6">
        <v>85</v>
      </c>
      <c r="D36" s="5">
        <v>1292</v>
      </c>
      <c r="E36" s="5">
        <f>SUM(C36*D36)</f>
        <v>109820</v>
      </c>
      <c r="F36" s="5">
        <v>1166</v>
      </c>
      <c r="G36" s="5">
        <f>SUM(C36*F36)</f>
        <v>99110</v>
      </c>
      <c r="H36" s="5">
        <v>703</v>
      </c>
      <c r="I36" s="5">
        <f t="shared" si="0"/>
        <v>59755</v>
      </c>
      <c r="J36" s="5">
        <f t="shared" ref="J36:K38" si="5">SUM(H36+D36+F36)</f>
        <v>3161</v>
      </c>
      <c r="K36" s="5">
        <f t="shared" si="5"/>
        <v>268685</v>
      </c>
      <c r="L36" s="5"/>
      <c r="M36" s="5"/>
      <c r="N36" s="5"/>
      <c r="P36" s="5"/>
    </row>
    <row r="37" spans="1:18" x14ac:dyDescent="0.25">
      <c r="A37" t="s">
        <v>29</v>
      </c>
      <c r="C37" s="6">
        <v>43</v>
      </c>
      <c r="D37" s="5">
        <v>301</v>
      </c>
      <c r="E37" s="5">
        <f>SUM(C37*D37)</f>
        <v>12943</v>
      </c>
      <c r="F37" s="5">
        <v>115</v>
      </c>
      <c r="G37" s="5">
        <f>SUM(C37*F37)</f>
        <v>4945</v>
      </c>
      <c r="H37" s="5">
        <v>176</v>
      </c>
      <c r="I37" s="5">
        <f t="shared" si="0"/>
        <v>7568</v>
      </c>
      <c r="J37" s="5">
        <f t="shared" si="5"/>
        <v>592</v>
      </c>
      <c r="K37" s="5">
        <f t="shared" si="5"/>
        <v>25456</v>
      </c>
      <c r="L37" s="5"/>
      <c r="M37" s="5"/>
      <c r="N37" s="5"/>
      <c r="P37" s="5"/>
    </row>
    <row r="38" spans="1:18" x14ac:dyDescent="0.25">
      <c r="A38" s="1" t="s">
        <v>43</v>
      </c>
      <c r="C38" s="2"/>
      <c r="D38" s="7">
        <f>SUM(D36:D37)</f>
        <v>1593</v>
      </c>
      <c r="E38" s="7">
        <f>SUM(E36:E37)</f>
        <v>122763</v>
      </c>
      <c r="F38" s="7">
        <f>SUM(F36:F37)</f>
        <v>1281</v>
      </c>
      <c r="G38" s="7">
        <f>SUM(G36:G37)</f>
        <v>104055</v>
      </c>
      <c r="H38" s="7">
        <f t="shared" ref="H38:I38" si="6">SUM(H36:H37)</f>
        <v>879</v>
      </c>
      <c r="I38" s="7">
        <f t="shared" si="6"/>
        <v>67323</v>
      </c>
      <c r="J38" s="5">
        <f t="shared" si="5"/>
        <v>3753</v>
      </c>
      <c r="K38" s="5">
        <f>SUM(I38+E38+G38)</f>
        <v>294141</v>
      </c>
      <c r="L38" s="5"/>
      <c r="M38" s="5"/>
      <c r="N38" s="5"/>
      <c r="O38" s="7"/>
      <c r="P38" s="5"/>
    </row>
    <row r="39" spans="1:18" x14ac:dyDescent="0.25">
      <c r="A39" t="s">
        <v>63</v>
      </c>
      <c r="C39" s="2"/>
      <c r="D39" s="5"/>
      <c r="E39" s="5">
        <f>SUM(E38/D38)</f>
        <v>77.06403013182674</v>
      </c>
      <c r="F39" s="5"/>
      <c r="G39" s="5">
        <f>SUM(G38/F38)</f>
        <v>81.229508196721312</v>
      </c>
      <c r="H39" s="5"/>
      <c r="I39" s="5">
        <f>SUM(I38/H38)</f>
        <v>76.590443686006822</v>
      </c>
      <c r="J39" s="5"/>
      <c r="K39" s="5">
        <f>SUM(K38/J38)</f>
        <v>78.374900079936054</v>
      </c>
      <c r="P39" s="5"/>
    </row>
    <row r="40" spans="1:18" x14ac:dyDescent="0.25">
      <c r="A40" s="10" t="s">
        <v>64</v>
      </c>
      <c r="C40" s="2"/>
      <c r="D40" s="9"/>
      <c r="E40" s="9">
        <f>SUM(E39/$K$39)</f>
        <v>0.98327436530353041</v>
      </c>
      <c r="F40" s="5"/>
      <c r="G40" s="9">
        <f>SUM(G39/$K$39)</f>
        <v>1.0364224785470066</v>
      </c>
      <c r="H40" s="9"/>
      <c r="I40" s="9">
        <f>SUM(I39/$K$39)</f>
        <v>0.97723178731827109</v>
      </c>
      <c r="J40" s="5"/>
      <c r="K40" s="34">
        <f>425066.2-(409203.14-289352)</f>
        <v>305215.06</v>
      </c>
      <c r="P40" s="5"/>
    </row>
    <row r="41" spans="1:18" x14ac:dyDescent="0.25">
      <c r="A41" s="10" t="s">
        <v>65</v>
      </c>
      <c r="C41" s="2"/>
      <c r="D41" s="5"/>
      <c r="E41" s="5"/>
      <c r="F41" s="5"/>
      <c r="G41" s="5"/>
      <c r="H41" s="5"/>
      <c r="I41" s="5"/>
      <c r="J41" s="5"/>
      <c r="K41" s="5">
        <f>SUM(K40/J38)</f>
        <v>81.325622168931517</v>
      </c>
      <c r="P41" s="5"/>
    </row>
    <row r="42" spans="1:18" ht="15.75" x14ac:dyDescent="0.25">
      <c r="A42" s="4" t="s">
        <v>67</v>
      </c>
      <c r="B42" s="29"/>
      <c r="C42" s="30"/>
      <c r="D42" s="28"/>
      <c r="E42" s="28">
        <f>SUM($K$41*D38*E40)</f>
        <v>127384.88143706588</v>
      </c>
      <c r="F42" s="28"/>
      <c r="G42" s="28">
        <f>SUM($K$41*F38*G40)</f>
        <v>107972.54741195549</v>
      </c>
      <c r="H42" s="28"/>
      <c r="I42" s="28">
        <f>SUM($K$41*H38*I40)</f>
        <v>69857.631150978603</v>
      </c>
      <c r="J42" s="28"/>
      <c r="K42" s="28">
        <f>SUM(E42:I42)</f>
        <v>305215.06</v>
      </c>
      <c r="P42" s="5"/>
    </row>
    <row r="43" spans="1:18" x14ac:dyDescent="0.25">
      <c r="A43" s="11"/>
      <c r="B43" s="1"/>
      <c r="C43" s="6"/>
      <c r="D43" s="7"/>
      <c r="P43" s="5"/>
    </row>
    <row r="44" spans="1:18" ht="15.75" x14ac:dyDescent="0.25">
      <c r="A44" s="38" t="s">
        <v>30</v>
      </c>
      <c r="C44" s="2"/>
      <c r="D44" s="5"/>
      <c r="E44" s="5"/>
      <c r="F44" s="5"/>
      <c r="G44" s="5"/>
      <c r="H44" s="5"/>
      <c r="I44" s="5"/>
      <c r="J44" s="5"/>
      <c r="K44" s="5"/>
      <c r="P44" s="5"/>
      <c r="R44" s="5"/>
    </row>
    <row r="45" spans="1:18" x14ac:dyDescent="0.25">
      <c r="A45" t="s">
        <v>31</v>
      </c>
      <c r="C45" s="6">
        <v>238</v>
      </c>
      <c r="D45" s="5">
        <v>2673</v>
      </c>
      <c r="E45" s="5">
        <f>SUM(C45*D45)</f>
        <v>636174</v>
      </c>
      <c r="F45" s="5">
        <v>1882</v>
      </c>
      <c r="G45" s="5">
        <f>SUM(C45*F45)</f>
        <v>447916</v>
      </c>
      <c r="H45" s="5">
        <v>383</v>
      </c>
      <c r="I45" s="5">
        <f t="shared" si="0"/>
        <v>91154</v>
      </c>
      <c r="J45" s="5">
        <f t="shared" ref="J45:K48" si="7">SUM(H45+D45+F45)</f>
        <v>4938</v>
      </c>
      <c r="K45" s="5">
        <f t="shared" si="7"/>
        <v>1175244</v>
      </c>
      <c r="L45" s="5"/>
      <c r="M45" s="5"/>
      <c r="N45" s="5"/>
      <c r="P45" s="5"/>
    </row>
    <row r="46" spans="1:18" x14ac:dyDescent="0.25">
      <c r="A46" t="s">
        <v>32</v>
      </c>
      <c r="C46" s="6">
        <v>173</v>
      </c>
      <c r="D46" s="5">
        <v>29</v>
      </c>
      <c r="E46" s="5">
        <f>SUM(C46*D46)</f>
        <v>5017</v>
      </c>
      <c r="F46" s="5">
        <v>379</v>
      </c>
      <c r="G46" s="5">
        <f>SUM(C46*F46)</f>
        <v>65567</v>
      </c>
      <c r="H46" s="5"/>
      <c r="I46" s="5">
        <f t="shared" si="0"/>
        <v>0</v>
      </c>
      <c r="J46" s="5">
        <f t="shared" si="7"/>
        <v>408</v>
      </c>
      <c r="K46" s="5">
        <f t="shared" si="7"/>
        <v>70584</v>
      </c>
      <c r="L46" s="5"/>
      <c r="M46" s="5"/>
      <c r="N46" s="5"/>
      <c r="P46" s="5"/>
    </row>
    <row r="47" spans="1:18" x14ac:dyDescent="0.25">
      <c r="A47" t="s">
        <v>33</v>
      </c>
      <c r="C47" s="6">
        <v>119</v>
      </c>
      <c r="D47" s="5"/>
      <c r="E47" s="5">
        <f>SUM(C47*D47)</f>
        <v>0</v>
      </c>
      <c r="F47" s="5"/>
      <c r="G47" s="5">
        <f>SUM(C47*F47)</f>
        <v>0</v>
      </c>
      <c r="H47" s="5"/>
      <c r="I47" s="5">
        <f t="shared" si="0"/>
        <v>0</v>
      </c>
      <c r="J47" s="5">
        <f t="shared" si="7"/>
        <v>0</v>
      </c>
      <c r="K47" s="5">
        <f t="shared" si="7"/>
        <v>0</v>
      </c>
      <c r="P47" s="5"/>
    </row>
    <row r="48" spans="1:18" x14ac:dyDescent="0.25">
      <c r="A48" s="1" t="s">
        <v>34</v>
      </c>
      <c r="C48" s="6"/>
      <c r="D48" s="7">
        <f>SUM(D45:D47)</f>
        <v>2702</v>
      </c>
      <c r="E48" s="7">
        <f>SUM(E45:E47)</f>
        <v>641191</v>
      </c>
      <c r="F48" s="7">
        <f>SUM(F45:F47)</f>
        <v>2261</v>
      </c>
      <c r="G48" s="7">
        <f>SUM(G45:G47)</f>
        <v>513483</v>
      </c>
      <c r="H48" s="7">
        <f t="shared" ref="H48:I48" si="8">SUM(H45:H47)</f>
        <v>383</v>
      </c>
      <c r="I48" s="7">
        <f t="shared" si="8"/>
        <v>91154</v>
      </c>
      <c r="J48" s="5">
        <f t="shared" si="7"/>
        <v>5346</v>
      </c>
      <c r="K48" s="5">
        <f t="shared" si="7"/>
        <v>1245828</v>
      </c>
      <c r="L48" s="5"/>
      <c r="M48" s="5"/>
      <c r="O48" s="7"/>
      <c r="P48" s="5"/>
    </row>
    <row r="49" spans="1:16" x14ac:dyDescent="0.25">
      <c r="A49" t="s">
        <v>63</v>
      </c>
      <c r="C49" s="6"/>
      <c r="D49" s="5"/>
      <c r="E49" s="5">
        <f>SUM(E48/D48)</f>
        <v>237.30236861584012</v>
      </c>
      <c r="F49" s="5"/>
      <c r="G49" s="5">
        <f>SUM(G48/F48)</f>
        <v>227.10437859354269</v>
      </c>
      <c r="H49" s="5"/>
      <c r="I49" s="5">
        <f>SUM(I48/H48)</f>
        <v>238</v>
      </c>
      <c r="J49" s="5"/>
      <c r="K49" s="5">
        <f>SUM(K48/J48)</f>
        <v>233.03928170594838</v>
      </c>
      <c r="P49" s="5"/>
    </row>
    <row r="50" spans="1:16" x14ac:dyDescent="0.25">
      <c r="A50" s="10" t="s">
        <v>64</v>
      </c>
      <c r="C50" s="6"/>
      <c r="D50" s="16"/>
      <c r="E50" s="9">
        <f>SUM(E49/$K$49)</f>
        <v>1.0182934262356291</v>
      </c>
      <c r="F50" s="5"/>
      <c r="G50" s="9">
        <f>SUM(G49/$K$49)</f>
        <v>0.9745326063959705</v>
      </c>
      <c r="H50" s="16"/>
      <c r="I50" s="9">
        <f>SUM(I49/$K$49)</f>
        <v>1.0212870476502374</v>
      </c>
      <c r="J50" s="5"/>
      <c r="K50" s="34">
        <f>1371833.25-(1471318.98-1246184)-D111</f>
        <v>1142293.5449999999</v>
      </c>
      <c r="P50" s="5"/>
    </row>
    <row r="51" spans="1:16" x14ac:dyDescent="0.25">
      <c r="A51" s="10" t="s">
        <v>65</v>
      </c>
      <c r="C51" s="6"/>
      <c r="D51" s="5"/>
      <c r="E51" s="5"/>
      <c r="F51" s="5"/>
      <c r="G51" s="5"/>
      <c r="H51" s="5"/>
      <c r="I51" s="5"/>
      <c r="J51" s="5"/>
      <c r="K51" s="7">
        <f>SUM(K50/J48)</f>
        <v>213.67256734006733</v>
      </c>
      <c r="P51" s="5"/>
    </row>
    <row r="52" spans="1:16" ht="15.75" x14ac:dyDescent="0.25">
      <c r="A52" s="4" t="s">
        <v>68</v>
      </c>
      <c r="B52" s="29"/>
      <c r="C52" s="33"/>
      <c r="D52" s="28"/>
      <c r="E52" s="28">
        <f>SUM($K$51*D48*E50)</f>
        <v>587904.86360243545</v>
      </c>
      <c r="F52" s="28"/>
      <c r="G52" s="28">
        <f>SUM($K$51*F48*G50)</f>
        <v>470810.02864539484</v>
      </c>
      <c r="H52" s="28"/>
      <c r="I52" s="28">
        <f>SUM($K$51*H48*I50)</f>
        <v>83578.652752169641</v>
      </c>
      <c r="J52" s="28"/>
      <c r="K52" s="28">
        <f>SUM(E52:I52)</f>
        <v>1142293.5449999999</v>
      </c>
      <c r="P52" s="5"/>
    </row>
    <row r="53" spans="1:16" x14ac:dyDescent="0.25">
      <c r="A53" s="11"/>
      <c r="B53" s="1"/>
      <c r="C53" s="6"/>
      <c r="D53" s="7"/>
      <c r="P53" s="5"/>
    </row>
    <row r="54" spans="1:16" x14ac:dyDescent="0.25">
      <c r="P54" s="5"/>
    </row>
    <row r="55" spans="1:16" ht="18.75" x14ac:dyDescent="0.3">
      <c r="A55" s="23" t="s">
        <v>74</v>
      </c>
      <c r="C55" s="2"/>
      <c r="D55" s="5"/>
      <c r="E55" s="5"/>
      <c r="F55" s="5"/>
      <c r="G55" s="5"/>
      <c r="H55" s="5"/>
      <c r="I55" s="5"/>
      <c r="J55" s="5"/>
      <c r="K55" s="5"/>
      <c r="N55" s="5"/>
    </row>
    <row r="56" spans="1:16" ht="15.75" x14ac:dyDescent="0.25">
      <c r="A56" s="4" t="s">
        <v>75</v>
      </c>
      <c r="C56" s="2"/>
      <c r="D56" s="5"/>
      <c r="E56" s="5"/>
      <c r="F56" s="5"/>
      <c r="G56" s="5"/>
      <c r="H56" s="5"/>
      <c r="I56" s="5"/>
      <c r="J56" s="5"/>
      <c r="K56" s="42">
        <f>SUM(K82+K78+K50+K40+K26)</f>
        <v>3198311.2</v>
      </c>
    </row>
    <row r="57" spans="1:16" ht="15.75" x14ac:dyDescent="0.25">
      <c r="A57" s="4" t="s">
        <v>76</v>
      </c>
      <c r="B57" s="24"/>
      <c r="C57" s="32"/>
      <c r="D57" s="27"/>
      <c r="E57" s="27">
        <f>SUM(E85,E52,E42,E28)</f>
        <v>1543941.7779765693</v>
      </c>
      <c r="F57" s="27"/>
      <c r="G57" s="27">
        <f>SUM(G85,G52,G42,G28)</f>
        <v>1137628.0966671202</v>
      </c>
      <c r="H57" s="27"/>
      <c r="I57" s="27">
        <f>SUM(I85,I52,I42,I28)</f>
        <v>516741.3253563107</v>
      </c>
      <c r="J57" s="27"/>
      <c r="K57" s="12">
        <f>SUM(E57:I57)</f>
        <v>3198311.2</v>
      </c>
      <c r="L57" s="5"/>
    </row>
    <row r="58" spans="1:16" ht="15.75" x14ac:dyDescent="0.25">
      <c r="A58" s="4" t="s">
        <v>77</v>
      </c>
      <c r="C58" s="2"/>
      <c r="D58" s="5"/>
      <c r="E58" s="5">
        <v>1618829</v>
      </c>
      <c r="F58" s="5"/>
      <c r="G58" s="5">
        <v>1173330</v>
      </c>
      <c r="H58" s="5"/>
      <c r="I58" s="5">
        <v>487416</v>
      </c>
      <c r="J58" s="5"/>
      <c r="K58" s="12">
        <f>SUM(E58:I58)</f>
        <v>3279575</v>
      </c>
    </row>
    <row r="59" spans="1:16" ht="15.75" x14ac:dyDescent="0.25">
      <c r="A59" s="4" t="s">
        <v>78</v>
      </c>
      <c r="B59" s="24"/>
      <c r="C59" s="32"/>
      <c r="D59" s="27"/>
      <c r="E59" s="27">
        <f>SUM(E57-E58)</f>
        <v>-74887.222023430746</v>
      </c>
      <c r="F59" s="27"/>
      <c r="G59" s="27">
        <f>SUM(G57-G58)</f>
        <v>-35701.903332879767</v>
      </c>
      <c r="H59" s="27"/>
      <c r="I59" s="27">
        <f>SUM(I57-I58)</f>
        <v>29325.325356310699</v>
      </c>
      <c r="J59" s="27"/>
      <c r="K59" s="12">
        <f>SUM(E59:I59)</f>
        <v>-81263.799999999814</v>
      </c>
      <c r="M59" s="5"/>
    </row>
    <row r="60" spans="1:16" ht="15.75" x14ac:dyDescent="0.25">
      <c r="A60" s="4" t="s">
        <v>82</v>
      </c>
      <c r="C60" s="2"/>
      <c r="D60" s="5"/>
      <c r="E60" s="7">
        <f>SUM(E59+E58)</f>
        <v>1543941.7779765693</v>
      </c>
      <c r="F60" s="5"/>
      <c r="G60" s="7">
        <f>SUM(G59+G58)</f>
        <v>1137628.0966671202</v>
      </c>
      <c r="H60" s="5"/>
      <c r="I60" s="7">
        <f>SUM(I59+I58)</f>
        <v>516741.3253563107</v>
      </c>
      <c r="J60" s="5"/>
      <c r="K60" s="7">
        <f>SUM(K59+K58)</f>
        <v>3198311.2</v>
      </c>
    </row>
    <row r="61" spans="1:16" ht="18.75" x14ac:dyDescent="0.3">
      <c r="A61" s="23"/>
      <c r="C61" s="2"/>
      <c r="D61" s="5"/>
      <c r="E61" s="5"/>
      <c r="F61" s="5"/>
      <c r="G61" s="5"/>
      <c r="H61" s="5"/>
      <c r="I61" s="5"/>
      <c r="J61" s="5"/>
      <c r="K61" s="5"/>
      <c r="N61" s="5"/>
    </row>
    <row r="62" spans="1:16" x14ac:dyDescent="0.25">
      <c r="A62" s="1"/>
      <c r="C62" s="2"/>
      <c r="D62" s="5"/>
      <c r="E62" s="5"/>
      <c r="F62" s="5"/>
      <c r="G62" s="5"/>
      <c r="H62" s="5"/>
      <c r="I62" s="5"/>
      <c r="J62" s="5"/>
      <c r="K62" s="7"/>
    </row>
    <row r="63" spans="1:16" x14ac:dyDescent="0.25">
      <c r="A63" s="1"/>
      <c r="C63" s="2"/>
      <c r="D63" s="5"/>
      <c r="E63" s="5"/>
      <c r="F63" s="5"/>
      <c r="G63" s="5"/>
      <c r="H63" s="5"/>
      <c r="I63" s="5"/>
      <c r="J63" s="5"/>
      <c r="K63" s="7"/>
    </row>
    <row r="64" spans="1:16" x14ac:dyDescent="0.25">
      <c r="A64" s="1"/>
      <c r="C64" s="2"/>
      <c r="D64" s="5"/>
      <c r="E64" s="5"/>
      <c r="F64" s="5"/>
      <c r="G64" s="5"/>
      <c r="H64" s="5"/>
      <c r="I64" s="5"/>
      <c r="J64" s="5"/>
      <c r="K64" s="7"/>
    </row>
    <row r="65" spans="1:11" x14ac:dyDescent="0.25">
      <c r="A65" s="1"/>
      <c r="C65" s="2"/>
      <c r="D65" s="5"/>
      <c r="E65" s="5"/>
      <c r="F65" s="5"/>
      <c r="G65" s="5"/>
      <c r="H65" s="5"/>
      <c r="I65" s="5"/>
      <c r="J65" s="5"/>
      <c r="K65" s="7"/>
    </row>
    <row r="66" spans="1:11" x14ac:dyDescent="0.25">
      <c r="A66" s="1"/>
      <c r="C66" s="2"/>
      <c r="D66" s="5"/>
      <c r="E66" s="5"/>
      <c r="F66" s="5"/>
      <c r="G66" s="5"/>
      <c r="H66" s="5"/>
      <c r="I66" s="5"/>
      <c r="J66" s="5"/>
      <c r="K66" s="7"/>
    </row>
    <row r="67" spans="1:11" x14ac:dyDescent="0.25">
      <c r="A67" s="1"/>
      <c r="C67" s="2"/>
      <c r="D67" s="5"/>
      <c r="E67" s="5"/>
      <c r="F67" s="5"/>
      <c r="G67" s="5"/>
      <c r="H67" s="5"/>
      <c r="I67" s="5"/>
      <c r="J67" s="5"/>
      <c r="K67" s="7"/>
    </row>
    <row r="68" spans="1:11" x14ac:dyDescent="0.25">
      <c r="A68" s="20" t="s">
        <v>108</v>
      </c>
      <c r="C68" s="2"/>
      <c r="D68" s="5"/>
      <c r="E68" s="5">
        <f>SUM(E52+E42+E31)</f>
        <v>1543941.7779765693</v>
      </c>
      <c r="F68" s="5"/>
      <c r="G68" s="5">
        <f>SUM(G52+G42+G31)</f>
        <v>1137628.09666712</v>
      </c>
      <c r="H68" s="5"/>
      <c r="I68" s="5">
        <f>SUM(I52+I42+I31)</f>
        <v>516741.3253563107</v>
      </c>
      <c r="J68" s="5"/>
      <c r="K68" s="12">
        <f>SUM(E68:I68)</f>
        <v>3198311.1999999997</v>
      </c>
    </row>
    <row r="69" spans="1:11" x14ac:dyDescent="0.25">
      <c r="A69" s="20"/>
      <c r="C69" s="2"/>
      <c r="D69" s="5"/>
      <c r="E69" s="5"/>
      <c r="F69" s="5"/>
      <c r="G69" s="5"/>
      <c r="H69" s="5"/>
      <c r="I69" s="5"/>
      <c r="J69" s="5"/>
      <c r="K69" s="12"/>
    </row>
    <row r="70" spans="1:11" x14ac:dyDescent="0.25">
      <c r="A70" s="1"/>
      <c r="C70" s="2"/>
      <c r="D70" s="5"/>
      <c r="E70" s="5"/>
      <c r="F70" s="5"/>
      <c r="G70" s="5"/>
      <c r="H70" s="5"/>
      <c r="I70" s="5"/>
      <c r="J70" s="5"/>
      <c r="K70" s="7"/>
    </row>
    <row r="71" spans="1:11" ht="15.75" x14ac:dyDescent="0.25">
      <c r="A71" s="38" t="s">
        <v>42</v>
      </c>
      <c r="C71" s="6"/>
      <c r="D71" s="5"/>
      <c r="E71" s="5"/>
      <c r="F71" s="5"/>
      <c r="G71" s="5"/>
      <c r="H71" s="5"/>
      <c r="I71" s="5"/>
      <c r="J71" s="5"/>
      <c r="K71" s="5"/>
    </row>
    <row r="72" spans="1:11" x14ac:dyDescent="0.25">
      <c r="A72" s="10" t="s">
        <v>35</v>
      </c>
      <c r="C72" s="6">
        <v>30</v>
      </c>
      <c r="D72" s="5">
        <v>152</v>
      </c>
      <c r="E72" s="5">
        <f>SUM(C72*D72)</f>
        <v>4560</v>
      </c>
      <c r="F72" s="5">
        <v>181</v>
      </c>
      <c r="G72" s="5">
        <f>SUM(C72*F72)</f>
        <v>5430</v>
      </c>
      <c r="H72" s="5">
        <v>54</v>
      </c>
      <c r="I72" s="5">
        <f t="shared" ref="I72:I76" si="9">SUM(H72*C72)</f>
        <v>1620</v>
      </c>
      <c r="J72" s="5">
        <f t="shared" ref="J72:K76" si="10">SUM(H72+D72+F72)</f>
        <v>387</v>
      </c>
      <c r="K72" s="5">
        <f t="shared" si="10"/>
        <v>11610</v>
      </c>
    </row>
    <row r="73" spans="1:11" x14ac:dyDescent="0.25">
      <c r="A73" s="10" t="s">
        <v>36</v>
      </c>
      <c r="C73" s="6">
        <v>181</v>
      </c>
      <c r="D73" s="5">
        <v>155</v>
      </c>
      <c r="E73" s="5">
        <f>SUM(C73*D73)</f>
        <v>28055</v>
      </c>
      <c r="F73" s="5">
        <v>46</v>
      </c>
      <c r="G73" s="5">
        <f>SUM(C73*F73)</f>
        <v>8326</v>
      </c>
      <c r="H73" s="5">
        <v>16</v>
      </c>
      <c r="I73" s="5">
        <f t="shared" si="9"/>
        <v>2896</v>
      </c>
      <c r="J73" s="5">
        <f t="shared" si="10"/>
        <v>217</v>
      </c>
      <c r="K73" s="5">
        <f t="shared" si="10"/>
        <v>39277</v>
      </c>
    </row>
    <row r="74" spans="1:11" x14ac:dyDescent="0.25">
      <c r="A74" s="10" t="s">
        <v>37</v>
      </c>
      <c r="C74" s="6">
        <v>181</v>
      </c>
      <c r="D74" s="5">
        <v>50</v>
      </c>
      <c r="E74" s="5">
        <f>SUM(C74*D74)</f>
        <v>9050</v>
      </c>
      <c r="F74" s="5">
        <v>88</v>
      </c>
      <c r="G74" s="5">
        <f>SUM(C74*F74)</f>
        <v>15928</v>
      </c>
      <c r="H74" s="5">
        <v>0</v>
      </c>
      <c r="I74" s="5">
        <f t="shared" si="9"/>
        <v>0</v>
      </c>
      <c r="J74" s="5">
        <f t="shared" si="10"/>
        <v>138</v>
      </c>
      <c r="K74" s="5">
        <f t="shared" si="10"/>
        <v>24978</v>
      </c>
    </row>
    <row r="75" spans="1:11" x14ac:dyDescent="0.25">
      <c r="A75" s="10" t="s">
        <v>38</v>
      </c>
      <c r="C75" s="6">
        <v>243</v>
      </c>
      <c r="D75" s="5">
        <v>846</v>
      </c>
      <c r="E75" s="5">
        <f>SUM(C75*D75)</f>
        <v>205578</v>
      </c>
      <c r="F75" s="5">
        <v>256</v>
      </c>
      <c r="G75" s="5">
        <f>SUM(C75*F75)</f>
        <v>62208</v>
      </c>
      <c r="H75" s="5">
        <v>72</v>
      </c>
      <c r="I75" s="5">
        <f t="shared" si="9"/>
        <v>17496</v>
      </c>
      <c r="J75" s="5">
        <f t="shared" si="10"/>
        <v>1174</v>
      </c>
      <c r="K75" s="5">
        <f t="shared" si="10"/>
        <v>285282</v>
      </c>
    </row>
    <row r="76" spans="1:11" x14ac:dyDescent="0.25">
      <c r="A76" s="10" t="s">
        <v>39</v>
      </c>
      <c r="C76" s="6">
        <v>380</v>
      </c>
      <c r="D76" s="5">
        <v>22</v>
      </c>
      <c r="E76" s="5">
        <f>SUM(C76*D76)</f>
        <v>8360</v>
      </c>
      <c r="F76" s="5">
        <v>24</v>
      </c>
      <c r="G76" s="5">
        <f>SUM(C76*F76)</f>
        <v>9120</v>
      </c>
      <c r="H76" s="5">
        <v>25</v>
      </c>
      <c r="I76" s="5">
        <f t="shared" si="9"/>
        <v>9500</v>
      </c>
      <c r="J76" s="5">
        <f t="shared" si="10"/>
        <v>71</v>
      </c>
      <c r="K76" s="5">
        <f t="shared" si="10"/>
        <v>26980</v>
      </c>
    </row>
    <row r="77" spans="1:11" x14ac:dyDescent="0.25">
      <c r="A77" s="1" t="s">
        <v>44</v>
      </c>
      <c r="C77" s="2"/>
      <c r="D77" s="7">
        <f t="shared" ref="D77:K77" si="11">SUM(D72:D76)</f>
        <v>1225</v>
      </c>
      <c r="E77" s="7">
        <f t="shared" si="11"/>
        <v>255603</v>
      </c>
      <c r="F77" s="7">
        <f t="shared" si="11"/>
        <v>595</v>
      </c>
      <c r="G77" s="7">
        <f t="shared" si="11"/>
        <v>101012</v>
      </c>
      <c r="H77" s="7">
        <f t="shared" si="11"/>
        <v>167</v>
      </c>
      <c r="I77" s="7">
        <f t="shared" si="11"/>
        <v>31512</v>
      </c>
      <c r="J77" s="7">
        <f t="shared" si="11"/>
        <v>1987</v>
      </c>
      <c r="K77" s="7">
        <f t="shared" si="11"/>
        <v>388127</v>
      </c>
    </row>
    <row r="78" spans="1:11" x14ac:dyDescent="0.25">
      <c r="A78" s="1" t="s">
        <v>50</v>
      </c>
      <c r="C78" s="2"/>
      <c r="D78" s="7"/>
      <c r="E78" s="7">
        <f>D80*$K$78</f>
        <v>26164.271273653565</v>
      </c>
      <c r="F78" s="7"/>
      <c r="G78" s="7">
        <f>F80*$K$78</f>
        <v>19594.217925764195</v>
      </c>
      <c r="H78" s="7"/>
      <c r="I78" s="7">
        <f>H80*$K$78</f>
        <v>7343.0008005822419</v>
      </c>
      <c r="J78" s="7"/>
      <c r="K78" s="34">
        <f>D102+6760</f>
        <v>53101.49</v>
      </c>
    </row>
    <row r="79" spans="1:11" x14ac:dyDescent="0.25">
      <c r="A79" s="1" t="s">
        <v>51</v>
      </c>
      <c r="D79" s="5">
        <v>677</v>
      </c>
      <c r="F79" s="5">
        <v>507</v>
      </c>
      <c r="H79" s="5">
        <v>190</v>
      </c>
      <c r="J79">
        <v>1374</v>
      </c>
    </row>
    <row r="80" spans="1:11" x14ac:dyDescent="0.25">
      <c r="A80" s="10" t="s">
        <v>52</v>
      </c>
      <c r="D80" s="16">
        <f>D79/$J$79</f>
        <v>0.49272197962154296</v>
      </c>
      <c r="E80" s="16"/>
      <c r="F80" s="16">
        <f>F79/$J$79</f>
        <v>0.36899563318777295</v>
      </c>
      <c r="G80" s="16"/>
      <c r="H80" s="16">
        <f>H79/$J$79</f>
        <v>0.13828238719068414</v>
      </c>
      <c r="J80">
        <f>J77/$J$77</f>
        <v>1</v>
      </c>
    </row>
    <row r="81" spans="1:11" x14ac:dyDescent="0.25">
      <c r="A81" t="s">
        <v>70</v>
      </c>
      <c r="C81" s="2"/>
      <c r="D81" s="5"/>
      <c r="E81" s="5">
        <f>SUM(E77/D77)</f>
        <v>208.65551020408162</v>
      </c>
      <c r="F81" s="5"/>
      <c r="G81" s="5">
        <f>SUM(G77/F77)</f>
        <v>169.76806722689076</v>
      </c>
      <c r="H81" s="5"/>
      <c r="I81" s="5">
        <f>SUM(I77/H77)</f>
        <v>188.69461077844312</v>
      </c>
      <c r="J81" s="5"/>
      <c r="K81" s="5">
        <f>SUM(K77/J77)</f>
        <v>195.33316557624559</v>
      </c>
    </row>
    <row r="82" spans="1:11" x14ac:dyDescent="0.25">
      <c r="A82" s="10" t="s">
        <v>71</v>
      </c>
      <c r="C82" s="2"/>
      <c r="D82" s="5"/>
      <c r="E82" s="9">
        <f>SUM(E81/$K$81)</f>
        <v>1.0682031880686225</v>
      </c>
      <c r="F82" s="5"/>
      <c r="G82" s="9">
        <f>SUM(G81/$K$81)</f>
        <v>0.86912054451205911</v>
      </c>
      <c r="H82" s="5"/>
      <c r="I82" s="9">
        <f>SUM(I81/$K$81)</f>
        <v>0.96601419539678124</v>
      </c>
      <c r="J82" s="5"/>
      <c r="K82" s="34">
        <f>E101+485.4</f>
        <v>114464.12999999999</v>
      </c>
    </row>
    <row r="83" spans="1:11" x14ac:dyDescent="0.25">
      <c r="A83" s="10" t="s">
        <v>72</v>
      </c>
      <c r="C83" s="2"/>
      <c r="D83" s="5"/>
      <c r="E83" s="5"/>
      <c r="F83" s="5"/>
      <c r="G83" s="5"/>
      <c r="H83" s="5"/>
      <c r="I83" s="5"/>
      <c r="J83" s="5"/>
      <c r="K83" s="7">
        <f>SUM(K82/J77)</f>
        <v>57.606507297433311</v>
      </c>
    </row>
    <row r="84" spans="1:11" ht="15.75" x14ac:dyDescent="0.25">
      <c r="A84" s="4" t="s">
        <v>73</v>
      </c>
      <c r="B84" s="1"/>
      <c r="C84" s="47"/>
      <c r="D84" s="7"/>
      <c r="E84" s="7">
        <f>SUM($K$83*D77*E82)</f>
        <v>75380.932067055372</v>
      </c>
      <c r="F84" s="1"/>
      <c r="G84" s="7">
        <f>SUM($K$83*F77*G82)</f>
        <v>29789.86439892097</v>
      </c>
      <c r="H84" s="1"/>
      <c r="I84" s="7">
        <f>SUM($K$83*H77*I82)</f>
        <v>9293.3335340236572</v>
      </c>
      <c r="J84" s="1"/>
      <c r="K84" s="7">
        <f>SUM(E84:I84)</f>
        <v>114464.12999999999</v>
      </c>
    </row>
    <row r="85" spans="1:11" ht="15.75" x14ac:dyDescent="0.25">
      <c r="A85" s="4" t="s">
        <v>87</v>
      </c>
      <c r="B85" s="4"/>
      <c r="C85" s="33"/>
      <c r="D85" s="28"/>
      <c r="E85" s="28">
        <f>SUM($K$83*D77*E82+E78)</f>
        <v>101545.20334070893</v>
      </c>
      <c r="F85" s="28"/>
      <c r="G85" s="28">
        <f>SUM($K$83*F77*G82+G78)</f>
        <v>49384.082324685165</v>
      </c>
      <c r="H85" s="28"/>
      <c r="I85" s="28">
        <f>SUM($K$83*H77*I82+I78)</f>
        <v>16636.334334605897</v>
      </c>
      <c r="J85" s="28"/>
      <c r="K85" s="28">
        <f>SUM(E85:I85)</f>
        <v>167565.62</v>
      </c>
    </row>
    <row r="86" spans="1:11" x14ac:dyDescent="0.25">
      <c r="A86" s="1"/>
      <c r="C86" s="2"/>
      <c r="D86" s="5"/>
      <c r="E86" s="5"/>
      <c r="F86" s="5"/>
      <c r="G86" s="5"/>
      <c r="H86" s="5"/>
      <c r="I86" s="5"/>
      <c r="J86" s="5"/>
      <c r="K86" s="7"/>
    </row>
    <row r="87" spans="1:11" ht="18.75" x14ac:dyDescent="0.3">
      <c r="A87" s="23"/>
      <c r="C87" s="2"/>
      <c r="D87" s="5"/>
      <c r="E87" s="5"/>
      <c r="F87" s="5"/>
      <c r="G87" s="5"/>
      <c r="H87" s="5"/>
      <c r="I87" s="5"/>
      <c r="J87" s="5"/>
      <c r="K87" s="5"/>
    </row>
    <row r="88" spans="1:11" x14ac:dyDescent="0.25">
      <c r="A88" s="11" t="s">
        <v>112</v>
      </c>
      <c r="B88" s="11"/>
      <c r="D88" s="5"/>
      <c r="E88" s="5"/>
      <c r="F88" s="5"/>
      <c r="G88" s="5"/>
      <c r="H88" s="5"/>
      <c r="I88" s="5"/>
      <c r="J88" s="5"/>
      <c r="K88" s="7"/>
    </row>
    <row r="89" spans="1:11" x14ac:dyDescent="0.25">
      <c r="A89" s="20"/>
      <c r="B89" s="10"/>
      <c r="C89" s="6"/>
      <c r="D89" s="7"/>
      <c r="E89" s="7"/>
      <c r="F89" s="7"/>
      <c r="G89" s="7"/>
      <c r="H89" s="7"/>
      <c r="I89" s="7"/>
      <c r="J89" s="7"/>
      <c r="K89" s="7"/>
    </row>
    <row r="90" spans="1:11" ht="15.75" x14ac:dyDescent="0.25">
      <c r="A90" t="s">
        <v>93</v>
      </c>
      <c r="B90" s="10"/>
      <c r="C90" s="25"/>
      <c r="D90" s="26"/>
      <c r="E90" s="27"/>
      <c r="F90" s="8" t="s">
        <v>109</v>
      </c>
      <c r="I90" s="27"/>
      <c r="J90" s="28"/>
      <c r="K90" s="10">
        <v>-81264</v>
      </c>
    </row>
    <row r="91" spans="1:11" ht="15.75" x14ac:dyDescent="0.25">
      <c r="A91" s="10" t="s">
        <v>92</v>
      </c>
      <c r="B91" s="10" t="s">
        <v>88</v>
      </c>
      <c r="C91" s="33"/>
      <c r="D91" s="8">
        <v>4739326.88</v>
      </c>
      <c r="E91" s="28"/>
      <c r="F91" s="8" t="s">
        <v>99</v>
      </c>
      <c r="I91" s="28"/>
      <c r="J91" s="28"/>
      <c r="K91" s="8">
        <f>K59</f>
        <v>-81263.799999999814</v>
      </c>
    </row>
    <row r="92" spans="1:11" x14ac:dyDescent="0.25">
      <c r="A92" s="10" t="s">
        <v>92</v>
      </c>
      <c r="B92" s="10" t="s">
        <v>89</v>
      </c>
      <c r="C92" s="18"/>
      <c r="D92" s="8">
        <v>-4820591.68</v>
      </c>
      <c r="E92" s="8"/>
      <c r="F92" s="8" t="s">
        <v>100</v>
      </c>
      <c r="I92" s="8"/>
      <c r="J92" s="8"/>
      <c r="K92" s="8">
        <f>SUM(K90-K91)</f>
        <v>-0.20000000018626451</v>
      </c>
    </row>
    <row r="93" spans="1:11" x14ac:dyDescent="0.25">
      <c r="A93" s="10" t="s">
        <v>92</v>
      </c>
      <c r="B93" s="10" t="s">
        <v>90</v>
      </c>
      <c r="C93" s="21"/>
      <c r="D93" s="8">
        <v>3279576</v>
      </c>
      <c r="E93" s="22"/>
      <c r="G93" s="22"/>
      <c r="H93" s="22"/>
      <c r="I93" s="22"/>
      <c r="J93" s="22"/>
      <c r="K93" s="22"/>
    </row>
    <row r="94" spans="1:11" x14ac:dyDescent="0.25">
      <c r="A94" s="11"/>
      <c r="B94" s="49" t="s">
        <v>91</v>
      </c>
      <c r="D94" s="7">
        <f>SUM(D91:D93)</f>
        <v>3198311.2</v>
      </c>
      <c r="E94" s="5"/>
      <c r="I94" s="5"/>
      <c r="J94" s="5"/>
      <c r="K94" s="5"/>
    </row>
    <row r="95" spans="1:11" x14ac:dyDescent="0.25">
      <c r="A95" s="1"/>
      <c r="B95" s="1"/>
      <c r="D95" s="5"/>
      <c r="E95" s="5"/>
      <c r="I95" s="5"/>
      <c r="J95" s="5"/>
      <c r="K95" s="5"/>
    </row>
    <row r="96" spans="1:11" x14ac:dyDescent="0.25">
      <c r="A96" s="17" t="s">
        <v>94</v>
      </c>
      <c r="B96" s="10"/>
    </row>
    <row r="97" spans="1:7" x14ac:dyDescent="0.25">
      <c r="A97" s="19"/>
      <c r="B97" s="10" t="s">
        <v>35</v>
      </c>
      <c r="D97">
        <v>43895.35</v>
      </c>
      <c r="G97" s="5"/>
    </row>
    <row r="98" spans="1:7" x14ac:dyDescent="0.25">
      <c r="A98" s="10"/>
      <c r="B98" s="10" t="s">
        <v>36</v>
      </c>
      <c r="D98">
        <v>29132.05</v>
      </c>
      <c r="G98" s="5"/>
    </row>
    <row r="99" spans="1:7" x14ac:dyDescent="0.25">
      <c r="A99" s="10"/>
      <c r="B99" s="10" t="s">
        <v>37</v>
      </c>
      <c r="D99">
        <v>17125.25</v>
      </c>
      <c r="G99" s="5"/>
    </row>
    <row r="100" spans="1:7" x14ac:dyDescent="0.25">
      <c r="A100" s="10"/>
      <c r="B100" s="10" t="s">
        <v>39</v>
      </c>
      <c r="D100">
        <v>21479.040000000001</v>
      </c>
      <c r="G100" s="5"/>
    </row>
    <row r="101" spans="1:7" x14ac:dyDescent="0.25">
      <c r="A101" s="10"/>
      <c r="B101" s="10" t="s">
        <v>38</v>
      </c>
      <c r="D101">
        <v>2347.04</v>
      </c>
      <c r="E101" s="1">
        <f>SUM(D97:D101)</f>
        <v>113978.73</v>
      </c>
      <c r="F101" t="s">
        <v>95</v>
      </c>
    </row>
    <row r="102" spans="1:7" x14ac:dyDescent="0.25">
      <c r="A102" s="10"/>
      <c r="B102" s="10" t="s">
        <v>97</v>
      </c>
      <c r="D102">
        <v>46341.49</v>
      </c>
      <c r="E102" t="s">
        <v>96</v>
      </c>
      <c r="G102" s="5" t="s">
        <v>83</v>
      </c>
    </row>
    <row r="103" spans="1:7" x14ac:dyDescent="0.25">
      <c r="A103" s="10"/>
      <c r="B103" s="10"/>
      <c r="D103" s="1">
        <f>SUM(D97:D102)</f>
        <v>160320.22</v>
      </c>
      <c r="E103" s="10" t="s">
        <v>98</v>
      </c>
      <c r="G103" s="5"/>
    </row>
    <row r="104" spans="1:7" x14ac:dyDescent="0.25">
      <c r="A104" s="10"/>
      <c r="B104" s="10"/>
    </row>
    <row r="105" spans="1:7" x14ac:dyDescent="0.25">
      <c r="A105" s="10" t="s">
        <v>101</v>
      </c>
      <c r="B105" s="10"/>
    </row>
    <row r="106" spans="1:7" x14ac:dyDescent="0.25">
      <c r="A106" s="10"/>
      <c r="B106" s="10" t="s">
        <v>104</v>
      </c>
      <c r="D106">
        <v>11764.31</v>
      </c>
    </row>
    <row r="107" spans="1:7" x14ac:dyDescent="0.25">
      <c r="A107" s="10"/>
      <c r="B107" s="10" t="s">
        <v>102</v>
      </c>
      <c r="D107" s="16">
        <v>-819.77</v>
      </c>
    </row>
    <row r="108" spans="1:7" x14ac:dyDescent="0.25">
      <c r="A108" s="10"/>
      <c r="B108" s="10" t="s">
        <v>102</v>
      </c>
      <c r="D108">
        <v>-668.13</v>
      </c>
    </row>
    <row r="109" spans="1:7" x14ac:dyDescent="0.25">
      <c r="A109" s="10"/>
      <c r="B109" s="10" t="s">
        <v>103</v>
      </c>
      <c r="D109" s="16">
        <v>-1466.96</v>
      </c>
    </row>
    <row r="110" spans="1:7" x14ac:dyDescent="0.25">
      <c r="B110" s="10" t="s">
        <v>105</v>
      </c>
      <c r="D110">
        <f>SUM(D106:D109)</f>
        <v>8809.4500000000007</v>
      </c>
    </row>
    <row r="111" spans="1:7" x14ac:dyDescent="0.25">
      <c r="B111" s="10" t="s">
        <v>105</v>
      </c>
      <c r="D111">
        <f>SUM(D110/2)</f>
        <v>4404.7250000000004</v>
      </c>
    </row>
    <row r="112" spans="1:7" x14ac:dyDescent="0.25">
      <c r="B112" s="10" t="s">
        <v>106</v>
      </c>
      <c r="D112" s="5" t="e">
        <f>SUM(D110+#REF!)</f>
        <v>#REF!</v>
      </c>
    </row>
    <row r="113" spans="2:4" x14ac:dyDescent="0.25">
      <c r="B113" s="10" t="s">
        <v>107</v>
      </c>
      <c r="D113" s="5" t="e">
        <f>D112</f>
        <v>#REF!</v>
      </c>
    </row>
  </sheetData>
  <mergeCells count="4">
    <mergeCell ref="F7:G7"/>
    <mergeCell ref="D7:E7"/>
    <mergeCell ref="H7:I7"/>
    <mergeCell ref="J7:K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G67" sqref="G67"/>
    </sheetView>
  </sheetViews>
  <sheetFormatPr defaultRowHeight="15" x14ac:dyDescent="0.25"/>
  <cols>
    <col min="5" max="5" width="10.85546875" customWidth="1"/>
  </cols>
  <sheetData>
    <row r="1" spans="1:7" ht="18.75" x14ac:dyDescent="0.3">
      <c r="A1" s="23" t="s">
        <v>56</v>
      </c>
    </row>
    <row r="2" spans="1:7" ht="15.75" x14ac:dyDescent="0.25">
      <c r="A2" s="4" t="s">
        <v>55</v>
      </c>
    </row>
    <row r="4" spans="1:7" x14ac:dyDescent="0.25">
      <c r="A4" s="1" t="s">
        <v>61</v>
      </c>
    </row>
    <row r="6" spans="1:7" x14ac:dyDescent="0.25">
      <c r="A6" s="1" t="s">
        <v>57</v>
      </c>
      <c r="C6" t="s">
        <v>0</v>
      </c>
      <c r="D6" t="s">
        <v>1</v>
      </c>
      <c r="E6" s="35">
        <v>2015</v>
      </c>
    </row>
    <row r="7" spans="1:7" x14ac:dyDescent="0.25">
      <c r="A7" t="s">
        <v>6</v>
      </c>
    </row>
    <row r="8" spans="1:7" x14ac:dyDescent="0.25">
      <c r="E8" t="s">
        <v>7</v>
      </c>
      <c r="F8" s="54" t="s">
        <v>58</v>
      </c>
      <c r="G8" s="54"/>
    </row>
    <row r="9" spans="1:7" ht="15.75" x14ac:dyDescent="0.25">
      <c r="A9" s="38" t="s">
        <v>12</v>
      </c>
      <c r="E9" s="2" t="s">
        <v>8</v>
      </c>
      <c r="F9" t="s">
        <v>9</v>
      </c>
      <c r="G9" t="s">
        <v>8</v>
      </c>
    </row>
    <row r="10" spans="1:7" x14ac:dyDescent="0.25">
      <c r="A10" t="s">
        <v>13</v>
      </c>
      <c r="E10" s="39">
        <v>43</v>
      </c>
      <c r="F10" s="5">
        <v>1036</v>
      </c>
      <c r="G10" s="5">
        <f>E10*F10</f>
        <v>44548</v>
      </c>
    </row>
    <row r="11" spans="1:7" x14ac:dyDescent="0.25">
      <c r="A11" t="s">
        <v>14</v>
      </c>
      <c r="E11" s="39"/>
      <c r="F11" s="5"/>
      <c r="G11" s="5"/>
    </row>
    <row r="12" spans="1:7" x14ac:dyDescent="0.25">
      <c r="A12" t="s">
        <v>15</v>
      </c>
      <c r="E12" s="39">
        <v>131</v>
      </c>
      <c r="F12" s="5">
        <v>4969</v>
      </c>
      <c r="G12" s="5">
        <f t="shared" ref="G12:G23" si="0">E12*F12</f>
        <v>650939</v>
      </c>
    </row>
    <row r="13" spans="1:7" x14ac:dyDescent="0.25">
      <c r="A13" t="s">
        <v>16</v>
      </c>
      <c r="E13" s="39">
        <v>13</v>
      </c>
      <c r="F13" s="5">
        <v>1101</v>
      </c>
      <c r="G13" s="5">
        <f t="shared" si="0"/>
        <v>14313</v>
      </c>
    </row>
    <row r="14" spans="1:7" x14ac:dyDescent="0.25">
      <c r="A14" t="s">
        <v>17</v>
      </c>
      <c r="E14" s="39"/>
      <c r="F14" s="5"/>
      <c r="G14" s="5"/>
    </row>
    <row r="15" spans="1:7" x14ac:dyDescent="0.25">
      <c r="A15" t="s">
        <v>18</v>
      </c>
      <c r="E15" s="39">
        <v>39</v>
      </c>
      <c r="F15" s="5">
        <v>4018</v>
      </c>
      <c r="G15" s="5">
        <f t="shared" si="0"/>
        <v>156702</v>
      </c>
    </row>
    <row r="16" spans="1:7" x14ac:dyDescent="0.25">
      <c r="A16" t="s">
        <v>16</v>
      </c>
      <c r="E16" s="39">
        <v>5</v>
      </c>
      <c r="F16" s="5">
        <v>4456</v>
      </c>
      <c r="G16" s="5">
        <f t="shared" si="0"/>
        <v>22280</v>
      </c>
    </row>
    <row r="17" spans="1:7" x14ac:dyDescent="0.25">
      <c r="A17" t="s">
        <v>19</v>
      </c>
      <c r="E17" s="39">
        <v>39</v>
      </c>
      <c r="F17" s="5">
        <v>0</v>
      </c>
      <c r="G17" s="5"/>
    </row>
    <row r="18" spans="1:7" x14ac:dyDescent="0.25">
      <c r="A18" t="s">
        <v>20</v>
      </c>
      <c r="E18" s="39">
        <v>51</v>
      </c>
      <c r="F18" s="5">
        <v>468</v>
      </c>
      <c r="G18" s="5">
        <f t="shared" si="0"/>
        <v>23868</v>
      </c>
    </row>
    <row r="19" spans="1:7" x14ac:dyDescent="0.25">
      <c r="A19" t="s">
        <v>21</v>
      </c>
      <c r="E19" s="39"/>
      <c r="F19" s="5"/>
      <c r="G19" s="5"/>
    </row>
    <row r="20" spans="1:7" x14ac:dyDescent="0.25">
      <c r="A20" t="s">
        <v>22</v>
      </c>
      <c r="E20" s="39">
        <v>82</v>
      </c>
      <c r="F20" s="5">
        <v>314</v>
      </c>
      <c r="G20" s="5">
        <f t="shared" si="0"/>
        <v>25748</v>
      </c>
    </row>
    <row r="21" spans="1:7" x14ac:dyDescent="0.25">
      <c r="A21" t="s">
        <v>23</v>
      </c>
      <c r="E21" s="39">
        <v>82</v>
      </c>
      <c r="F21" s="5">
        <v>236</v>
      </c>
      <c r="G21" s="5">
        <f t="shared" si="0"/>
        <v>19352</v>
      </c>
    </row>
    <row r="22" spans="1:7" x14ac:dyDescent="0.25">
      <c r="A22" t="s">
        <v>24</v>
      </c>
      <c r="E22" s="39">
        <v>21</v>
      </c>
      <c r="F22" s="5">
        <v>92</v>
      </c>
      <c r="G22" s="5">
        <f t="shared" si="0"/>
        <v>1932</v>
      </c>
    </row>
    <row r="23" spans="1:7" x14ac:dyDescent="0.25">
      <c r="A23" t="s">
        <v>25</v>
      </c>
      <c r="E23" s="39">
        <v>105</v>
      </c>
      <c r="F23" s="5">
        <v>597</v>
      </c>
      <c r="G23" s="5">
        <f t="shared" si="0"/>
        <v>62685</v>
      </c>
    </row>
    <row r="24" spans="1:7" x14ac:dyDescent="0.25">
      <c r="A24" s="1" t="s">
        <v>26</v>
      </c>
      <c r="B24" s="1"/>
      <c r="E24" s="1"/>
      <c r="F24" s="7">
        <f>SUM(F10:F23)</f>
        <v>17287</v>
      </c>
      <c r="G24" s="5">
        <f>SUM(G10:G23)</f>
        <v>1022367</v>
      </c>
    </row>
    <row r="25" spans="1:7" x14ac:dyDescent="0.25">
      <c r="A25" t="s">
        <v>63</v>
      </c>
      <c r="B25" s="1"/>
      <c r="G25" s="8">
        <f>SUM(G24/F24)</f>
        <v>59.140799444669405</v>
      </c>
    </row>
    <row r="26" spans="1:7" x14ac:dyDescent="0.25">
      <c r="A26" s="10" t="s">
        <v>64</v>
      </c>
      <c r="B26" s="1"/>
      <c r="C26" s="1"/>
      <c r="D26" s="9"/>
      <c r="E26" s="1"/>
      <c r="F26" s="9">
        <f>SUM(G25/G25)</f>
        <v>1</v>
      </c>
      <c r="G26" s="34">
        <v>1100000</v>
      </c>
    </row>
    <row r="27" spans="1:7" x14ac:dyDescent="0.25">
      <c r="A27" s="10" t="s">
        <v>65</v>
      </c>
      <c r="B27" s="1"/>
      <c r="C27" s="1"/>
      <c r="D27" s="7"/>
      <c r="E27" s="7"/>
      <c r="F27" s="7"/>
      <c r="G27" s="7">
        <f>SUM(G26/F24)</f>
        <v>63.631630705154166</v>
      </c>
    </row>
    <row r="28" spans="1:7" ht="15.75" x14ac:dyDescent="0.25">
      <c r="A28" s="4" t="s">
        <v>66</v>
      </c>
      <c r="C28" s="1"/>
      <c r="D28" s="7"/>
      <c r="E28" s="7"/>
      <c r="F28" s="12"/>
      <c r="G28" s="7">
        <f>SUM($F$24*F26*G27)</f>
        <v>1100000</v>
      </c>
    </row>
    <row r="29" spans="1:7" x14ac:dyDescent="0.25">
      <c r="A29" s="11"/>
      <c r="B29" s="11"/>
      <c r="C29" s="11"/>
      <c r="D29" s="12"/>
      <c r="E29" s="12"/>
    </row>
    <row r="30" spans="1:7" x14ac:dyDescent="0.25">
      <c r="A30" s="13"/>
      <c r="B30" s="11"/>
      <c r="C30" s="11"/>
      <c r="D30" s="12"/>
      <c r="E30" s="12"/>
    </row>
    <row r="31" spans="1:7" ht="15.75" x14ac:dyDescent="0.25">
      <c r="A31" s="38" t="s">
        <v>27</v>
      </c>
      <c r="C31" s="1"/>
      <c r="D31" s="5"/>
      <c r="E31" s="5"/>
    </row>
    <row r="32" spans="1:7" x14ac:dyDescent="0.25">
      <c r="A32" t="s">
        <v>28</v>
      </c>
      <c r="C32" s="39">
        <v>41</v>
      </c>
      <c r="F32" s="5">
        <v>3234</v>
      </c>
      <c r="G32" s="5">
        <f>C32*F32</f>
        <v>132594</v>
      </c>
    </row>
    <row r="33" spans="1:7" x14ac:dyDescent="0.25">
      <c r="A33" t="s">
        <v>29</v>
      </c>
      <c r="C33" s="39">
        <v>25</v>
      </c>
      <c r="F33" s="5">
        <v>1424</v>
      </c>
      <c r="G33" s="5">
        <f>C33*F33</f>
        <v>35600</v>
      </c>
    </row>
    <row r="34" spans="1:7" x14ac:dyDescent="0.25">
      <c r="A34" s="1" t="s">
        <v>43</v>
      </c>
      <c r="C34" s="2"/>
      <c r="F34" s="7">
        <f>+F32+F33</f>
        <v>4658</v>
      </c>
      <c r="G34" s="7">
        <f>+G32+G33</f>
        <v>168194</v>
      </c>
    </row>
    <row r="35" spans="1:7" x14ac:dyDescent="0.25">
      <c r="A35" t="s">
        <v>63</v>
      </c>
      <c r="C35" s="2"/>
      <c r="D35" s="5"/>
      <c r="G35" s="5">
        <f>SUM(G34/F34)</f>
        <v>36.108630313439242</v>
      </c>
    </row>
    <row r="36" spans="1:7" x14ac:dyDescent="0.25">
      <c r="A36" s="10" t="s">
        <v>64</v>
      </c>
      <c r="C36" s="2"/>
      <c r="D36" s="9"/>
      <c r="E36" s="9"/>
      <c r="F36" s="9">
        <f>SUM(G35/G35)</f>
        <v>1</v>
      </c>
      <c r="G36" s="34">
        <f>334146.49-(362877.3-235072)</f>
        <v>206341.19</v>
      </c>
    </row>
    <row r="37" spans="1:7" x14ac:dyDescent="0.25">
      <c r="A37" s="10" t="s">
        <v>65</v>
      </c>
      <c r="C37" s="2"/>
      <c r="D37" s="5"/>
      <c r="E37" s="5"/>
      <c r="F37" s="5"/>
      <c r="G37" s="7">
        <f>SUM(G36/F34)</f>
        <v>44.298237440961785</v>
      </c>
    </row>
    <row r="38" spans="1:7" ht="15.75" x14ac:dyDescent="0.25">
      <c r="A38" s="4" t="s">
        <v>67</v>
      </c>
      <c r="C38" s="2"/>
      <c r="D38" s="7"/>
      <c r="E38" s="7"/>
      <c r="F38" s="7"/>
      <c r="G38" s="7">
        <f>SUM(F34*F36*G37)</f>
        <v>206341.19</v>
      </c>
    </row>
    <row r="39" spans="1:7" x14ac:dyDescent="0.25">
      <c r="A39" s="11"/>
      <c r="B39" s="1"/>
      <c r="C39" s="39"/>
      <c r="D39" s="7"/>
      <c r="E39" s="12"/>
    </row>
    <row r="40" spans="1:7" x14ac:dyDescent="0.25">
      <c r="A40" s="11"/>
      <c r="B40" s="1"/>
      <c r="C40" s="41"/>
      <c r="D40" s="7"/>
      <c r="E40" s="12"/>
    </row>
    <row r="41" spans="1:7" ht="15.75" x14ac:dyDescent="0.25">
      <c r="A41" s="38" t="s">
        <v>30</v>
      </c>
      <c r="C41" s="2"/>
      <c r="D41" s="5"/>
      <c r="E41" s="5"/>
    </row>
    <row r="42" spans="1:7" x14ac:dyDescent="0.25">
      <c r="A42" t="s">
        <v>31</v>
      </c>
      <c r="E42" s="39">
        <v>163</v>
      </c>
      <c r="F42" s="5">
        <v>5002</v>
      </c>
      <c r="G42" s="5">
        <f>E42*F42</f>
        <v>815326</v>
      </c>
    </row>
    <row r="43" spans="1:7" x14ac:dyDescent="0.25">
      <c r="A43" t="s">
        <v>32</v>
      </c>
      <c r="E43" s="39">
        <v>130</v>
      </c>
      <c r="F43" s="5">
        <v>3312</v>
      </c>
      <c r="G43" s="5">
        <f>E43*F43</f>
        <v>430560</v>
      </c>
    </row>
    <row r="44" spans="1:7" x14ac:dyDescent="0.25">
      <c r="A44" t="s">
        <v>33</v>
      </c>
      <c r="E44" s="39">
        <v>82</v>
      </c>
      <c r="F44" s="5"/>
      <c r="G44" s="5">
        <f>SUM(E44*F44)</f>
        <v>0</v>
      </c>
    </row>
    <row r="45" spans="1:7" x14ac:dyDescent="0.25">
      <c r="A45" s="1" t="s">
        <v>34</v>
      </c>
      <c r="E45" s="39"/>
      <c r="F45" s="7">
        <f>SUM(F42:F44)</f>
        <v>8314</v>
      </c>
      <c r="G45" s="7">
        <f>SUM(G42:G44)</f>
        <v>1245886</v>
      </c>
    </row>
    <row r="46" spans="1:7" x14ac:dyDescent="0.25">
      <c r="A46" t="s">
        <v>63</v>
      </c>
      <c r="C46" s="39"/>
      <c r="D46" s="5"/>
      <c r="G46" s="5">
        <f>SUM(G45/F45)</f>
        <v>149.8539812364686</v>
      </c>
    </row>
    <row r="47" spans="1:7" x14ac:dyDescent="0.25">
      <c r="A47" s="10" t="s">
        <v>64</v>
      </c>
      <c r="C47" s="39"/>
      <c r="D47" s="16"/>
      <c r="E47" s="9"/>
      <c r="F47" s="9">
        <f>SUM(G46/G46)</f>
        <v>1</v>
      </c>
      <c r="G47" s="43">
        <f>1611435.26-(1642338.76-1332040)</f>
        <v>1301136.5</v>
      </c>
    </row>
    <row r="48" spans="1:7" x14ac:dyDescent="0.25">
      <c r="A48" s="10" t="s">
        <v>65</v>
      </c>
      <c r="C48" s="39"/>
      <c r="D48" s="5"/>
      <c r="E48" s="5"/>
      <c r="F48" s="5"/>
      <c r="G48" s="7">
        <f>SUM(G47/F45)</f>
        <v>156.49945874428676</v>
      </c>
    </row>
    <row r="49" spans="1:8" ht="15.75" x14ac:dyDescent="0.25">
      <c r="A49" s="4" t="s">
        <v>68</v>
      </c>
      <c r="C49" s="39"/>
      <c r="D49" s="7"/>
      <c r="E49" s="7"/>
      <c r="F49" s="7"/>
      <c r="G49" s="7">
        <f>SUM(F45*F47*G48)</f>
        <v>1301136.5</v>
      </c>
    </row>
    <row r="50" spans="1:8" x14ac:dyDescent="0.25">
      <c r="A50" s="11"/>
      <c r="B50" s="1"/>
      <c r="C50" s="39"/>
      <c r="D50" s="7"/>
      <c r="E50" s="12"/>
    </row>
    <row r="51" spans="1:8" x14ac:dyDescent="0.25">
      <c r="A51" s="14"/>
      <c r="C51" s="39"/>
      <c r="D51" s="5"/>
      <c r="E51" s="15"/>
    </row>
    <row r="52" spans="1:8" ht="15.75" x14ac:dyDescent="0.25">
      <c r="A52" s="38" t="s">
        <v>42</v>
      </c>
      <c r="C52" s="39"/>
      <c r="D52" s="5"/>
      <c r="E52" s="5"/>
    </row>
    <row r="53" spans="1:8" x14ac:dyDescent="0.25">
      <c r="A53" s="10" t="s">
        <v>35</v>
      </c>
      <c r="E53" s="39">
        <v>43</v>
      </c>
      <c r="F53" s="5">
        <v>364</v>
      </c>
      <c r="G53" s="5">
        <f>E53*F53</f>
        <v>15652</v>
      </c>
    </row>
    <row r="54" spans="1:8" x14ac:dyDescent="0.25">
      <c r="A54" s="10" t="s">
        <v>36</v>
      </c>
      <c r="E54" s="39">
        <v>93</v>
      </c>
      <c r="F54" s="5">
        <v>214</v>
      </c>
      <c r="G54" s="5">
        <f t="shared" ref="G54:G57" si="1">E54*F54</f>
        <v>19902</v>
      </c>
    </row>
    <row r="55" spans="1:8" x14ac:dyDescent="0.25">
      <c r="A55" s="10" t="s">
        <v>37</v>
      </c>
      <c r="E55" s="39" t="s">
        <v>59</v>
      </c>
      <c r="F55" s="5">
        <v>0</v>
      </c>
      <c r="G55" s="5"/>
    </row>
    <row r="56" spans="1:8" x14ac:dyDescent="0.25">
      <c r="A56" s="10" t="s">
        <v>38</v>
      </c>
      <c r="E56" s="39">
        <v>157</v>
      </c>
      <c r="F56" s="5">
        <v>912</v>
      </c>
      <c r="G56" s="5">
        <f t="shared" si="1"/>
        <v>143184</v>
      </c>
    </row>
    <row r="57" spans="1:8" x14ac:dyDescent="0.25">
      <c r="A57" s="10" t="s">
        <v>39</v>
      </c>
      <c r="E57" s="39">
        <v>329</v>
      </c>
      <c r="F57" s="5">
        <v>119</v>
      </c>
      <c r="G57" s="5">
        <f t="shared" si="1"/>
        <v>39151</v>
      </c>
    </row>
    <row r="58" spans="1:8" x14ac:dyDescent="0.25">
      <c r="A58" s="1" t="s">
        <v>44</v>
      </c>
      <c r="E58" s="2"/>
      <c r="F58" s="7">
        <f t="shared" ref="F58" si="2">SUM(F53:F57)</f>
        <v>1609</v>
      </c>
      <c r="G58" s="7">
        <f>SUM(G53:G57)</f>
        <v>217889</v>
      </c>
    </row>
    <row r="59" spans="1:8" x14ac:dyDescent="0.25">
      <c r="A59" s="1"/>
      <c r="C59" s="2"/>
      <c r="D59" s="7"/>
      <c r="E59" s="7"/>
    </row>
    <row r="60" spans="1:8" x14ac:dyDescent="0.25">
      <c r="A60" s="1" t="s">
        <v>81</v>
      </c>
      <c r="D60" s="5"/>
      <c r="G60" s="44">
        <v>200000</v>
      </c>
    </row>
    <row r="61" spans="1:8" x14ac:dyDescent="0.25">
      <c r="A61" s="10"/>
      <c r="D61" s="5"/>
      <c r="E61" s="44"/>
    </row>
    <row r="62" spans="1:8" x14ac:dyDescent="0.25">
      <c r="A62" s="10"/>
      <c r="D62" s="5"/>
    </row>
    <row r="63" spans="1:8" ht="15.75" x14ac:dyDescent="0.25">
      <c r="A63" s="4" t="s">
        <v>49</v>
      </c>
      <c r="C63" s="2"/>
      <c r="D63" s="5"/>
      <c r="E63" s="5"/>
    </row>
    <row r="64" spans="1:8" ht="15.75" x14ac:dyDescent="0.25">
      <c r="A64" s="4" t="s">
        <v>75</v>
      </c>
      <c r="C64" s="2"/>
      <c r="D64" s="5"/>
      <c r="E64" s="5"/>
      <c r="G64">
        <f>3930550.64-(4006848.03-2876464)</f>
        <v>2800166.6100000003</v>
      </c>
      <c r="H64">
        <f>3930550.64-(4006848.03-2876464)</f>
        <v>2800166.6100000003</v>
      </c>
    </row>
    <row r="65" spans="1:7" ht="15.75" x14ac:dyDescent="0.25">
      <c r="A65" s="4" t="s">
        <v>79</v>
      </c>
      <c r="B65" s="24"/>
      <c r="C65" s="32"/>
      <c r="D65" s="27"/>
      <c r="E65" s="27"/>
      <c r="G65" s="5">
        <f>+G58+G45+G34+G24</f>
        <v>2654336</v>
      </c>
    </row>
    <row r="66" spans="1:7" ht="15.75" x14ac:dyDescent="0.25">
      <c r="A66" s="4" t="s">
        <v>77</v>
      </c>
      <c r="C66" s="2"/>
      <c r="D66" s="5"/>
      <c r="E66" s="5"/>
      <c r="G66">
        <v>2876464</v>
      </c>
    </row>
    <row r="67" spans="1:7" ht="15.75" x14ac:dyDescent="0.25">
      <c r="A67" s="4" t="s">
        <v>80</v>
      </c>
      <c r="C67" s="2"/>
      <c r="D67" s="5"/>
      <c r="E67" s="5"/>
      <c r="G67" s="5">
        <f>SUM(G64-G66)</f>
        <v>-76297.389999999665</v>
      </c>
    </row>
    <row r="68" spans="1:7" ht="15.75" x14ac:dyDescent="0.25">
      <c r="A68" s="24"/>
      <c r="B68" s="24"/>
      <c r="C68" s="32"/>
      <c r="D68" s="27"/>
      <c r="E68" s="27"/>
    </row>
    <row r="69" spans="1:7" x14ac:dyDescent="0.25">
      <c r="A69" s="11"/>
      <c r="B69" s="1"/>
      <c r="C69" s="39"/>
      <c r="D69" s="7"/>
      <c r="E69" s="12"/>
    </row>
    <row r="70" spans="1:7" ht="18.75" x14ac:dyDescent="0.3">
      <c r="A70" s="23"/>
      <c r="C70" s="2"/>
      <c r="D70" s="5"/>
      <c r="E70" s="5"/>
    </row>
    <row r="80" spans="1:7" x14ac:dyDescent="0.25">
      <c r="A80" s="1"/>
      <c r="C80" s="2"/>
      <c r="D80" s="5"/>
      <c r="E80" s="5"/>
    </row>
  </sheetData>
  <mergeCells count="1">
    <mergeCell ref="F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Nilakka 2015</vt:lpstr>
      <vt:lpstr>Koillis-Savo 2015 </vt:lpstr>
      <vt:lpstr>Leppävirta 2015</vt:lpstr>
    </vt:vector>
  </TitlesOfParts>
  <Company>PSSHP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Matilainen Merja</cp:lastModifiedBy>
  <cp:lastPrinted>2015-05-11T12:23:25Z</cp:lastPrinted>
  <dcterms:created xsi:type="dcterms:W3CDTF">2015-04-17T04:56:59Z</dcterms:created>
  <dcterms:modified xsi:type="dcterms:W3CDTF">2015-05-13T08:31:30Z</dcterms:modified>
</cp:coreProperties>
</file>