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ata\user\talousarvio\2020\Muutos 2\"/>
    </mc:Choice>
  </mc:AlternateContent>
  <bookViews>
    <workbookView xWindow="120" yWindow="45" windowWidth="9375" windowHeight="5220" firstSheet="1" activeTab="1"/>
  </bookViews>
  <sheets>
    <sheet name="2020" sheetId="1" state="hidden" r:id="rId1"/>
    <sheet name=" 2020 MUUTOS" sheetId="3" r:id="rId2"/>
    <sheet name="Taul2" sheetId="2" r:id="rId3"/>
    <sheet name="Taul4" sheetId="4" r:id="rId4"/>
    <sheet name="Taul5" sheetId="5" r:id="rId5"/>
    <sheet name="Taul6" sheetId="6" r:id="rId6"/>
    <sheet name="Taul7" sheetId="7" r:id="rId7"/>
    <sheet name="Taul8" sheetId="8" r:id="rId8"/>
    <sheet name="Taul9" sheetId="9" r:id="rId9"/>
    <sheet name="Taul10" sheetId="10" r:id="rId10"/>
    <sheet name="Taul11" sheetId="11" r:id="rId11"/>
    <sheet name="Taul12" sheetId="12" r:id="rId12"/>
    <sheet name="Taul13" sheetId="13" r:id="rId13"/>
    <sheet name="Taul14" sheetId="14" r:id="rId14"/>
    <sheet name="Taul15" sheetId="15" r:id="rId15"/>
    <sheet name="Taul16" sheetId="16" r:id="rId16"/>
  </sheets>
  <externalReferences>
    <externalReference r:id="rId17"/>
    <externalReference r:id="rId18"/>
    <externalReference r:id="rId19"/>
    <externalReference r:id="rId20"/>
    <externalReference r:id="rId21"/>
  </externalReferences>
  <definedNames>
    <definedName name="_xlnm.Print_Area" localSheetId="0">'2020'!$A$1:$K$49</definedName>
    <definedName name="_xlnm.Print_Titles" localSheetId="0">'2020'!$6:$12</definedName>
  </definedNames>
  <calcPr calcId="162913"/>
</workbook>
</file>

<file path=xl/calcChain.xml><?xml version="1.0" encoding="utf-8"?>
<calcChain xmlns="http://schemas.openxmlformats.org/spreadsheetml/2006/main">
  <c r="I18" i="1" l="1"/>
  <c r="G42" i="3" l="1"/>
  <c r="G39" i="3"/>
  <c r="G38" i="3"/>
  <c r="I39" i="3" s="1"/>
  <c r="I33" i="3"/>
  <c r="K33" i="3"/>
  <c r="G33" i="3"/>
  <c r="I28" i="3"/>
  <c r="K28" i="3"/>
  <c r="M28" i="3"/>
  <c r="O28" i="3"/>
  <c r="I30" i="3"/>
  <c r="K30" i="3"/>
  <c r="M30" i="3"/>
  <c r="O30" i="3"/>
  <c r="I31" i="3"/>
  <c r="K31" i="3"/>
  <c r="M31" i="3"/>
  <c r="O31" i="3"/>
  <c r="G32" i="3"/>
  <c r="G31" i="3"/>
  <c r="G30" i="3"/>
  <c r="G28" i="3"/>
  <c r="G18" i="3"/>
  <c r="G20" i="3"/>
  <c r="G22" i="3"/>
  <c r="B64" i="3"/>
  <c r="B65" i="3" s="1"/>
  <c r="E62" i="3"/>
  <c r="E54" i="3"/>
  <c r="C54" i="3"/>
  <c r="Q45" i="3"/>
  <c r="I34" i="3" l="1"/>
  <c r="M34" i="3"/>
  <c r="O34" i="3"/>
  <c r="I42" i="3"/>
  <c r="K42" i="3" s="1"/>
  <c r="M42" i="3" s="1"/>
  <c r="O42" i="3" s="1"/>
  <c r="G34" i="3"/>
  <c r="K34" i="3"/>
  <c r="H40" i="1"/>
  <c r="K56" i="1" l="1"/>
  <c r="O58" i="3" s="1"/>
  <c r="K55" i="1"/>
  <c r="O57" i="3" s="1"/>
  <c r="K54" i="1"/>
  <c r="O56" i="3" s="1"/>
  <c r="K53" i="1"/>
  <c r="O55" i="3" s="1"/>
  <c r="M43" i="1"/>
  <c r="I29" i="1"/>
  <c r="I40" i="1" s="1"/>
  <c r="H19" i="1" l="1"/>
  <c r="I21" i="3" s="1"/>
  <c r="H18" i="1"/>
  <c r="I20" i="3" s="1"/>
  <c r="G15" i="1"/>
  <c r="G17" i="3" s="1"/>
  <c r="G19" i="1"/>
  <c r="G21" i="3" s="1"/>
  <c r="H15" i="1"/>
  <c r="I14" i="1"/>
  <c r="K16" i="3" s="1"/>
  <c r="H14" i="1"/>
  <c r="I16" i="3" s="1"/>
  <c r="I17" i="3" l="1"/>
  <c r="I23" i="3" s="1"/>
  <c r="I46" i="3"/>
  <c r="J14" i="1"/>
  <c r="M16" i="3" s="1"/>
  <c r="I36" i="3" l="1"/>
  <c r="I38" i="3" s="1"/>
  <c r="K14" i="1"/>
  <c r="O16" i="3" s="1"/>
  <c r="K39" i="3" l="1"/>
  <c r="J29" i="1"/>
  <c r="K29" i="1" l="1"/>
  <c r="J40" i="1"/>
  <c r="I32" i="1"/>
  <c r="J32" i="1"/>
  <c r="K32" i="1"/>
  <c r="H37" i="1"/>
  <c r="H32" i="1"/>
  <c r="B62" i="2"/>
  <c r="B61" i="2"/>
  <c r="E59" i="2"/>
  <c r="E51" i="2"/>
  <c r="C51" i="2"/>
  <c r="J39" i="2"/>
  <c r="K39" i="2" s="1"/>
  <c r="L39" i="2" s="1"/>
  <c r="H39" i="2"/>
  <c r="G39" i="2"/>
  <c r="H36" i="2"/>
  <c r="L31" i="2"/>
  <c r="K31" i="2"/>
  <c r="J31" i="2"/>
  <c r="H31" i="2"/>
  <c r="G31" i="2"/>
  <c r="L18" i="2"/>
  <c r="K18" i="2"/>
  <c r="J18" i="2"/>
  <c r="H18" i="2"/>
  <c r="G18" i="2"/>
  <c r="L14" i="2"/>
  <c r="K14" i="2"/>
  <c r="J14" i="2"/>
  <c r="L13" i="2"/>
  <c r="K13" i="2"/>
  <c r="K40" i="1" l="1"/>
  <c r="B62" i="1"/>
  <c r="C52" i="1" l="1"/>
  <c r="E52" i="1"/>
  <c r="E60" i="1"/>
  <c r="B63" i="1" l="1"/>
  <c r="G32" i="1" l="1"/>
  <c r="J13" i="2" l="1"/>
  <c r="H14" i="2" l="1"/>
  <c r="G14" i="2"/>
  <c r="H46" i="1"/>
  <c r="I48" i="3" s="1"/>
  <c r="L45" i="2" l="1"/>
  <c r="K45" i="2"/>
  <c r="I46" i="1"/>
  <c r="K48" i="3" s="1"/>
  <c r="J45" i="2"/>
  <c r="H13" i="2" l="1"/>
  <c r="H20" i="2" l="1"/>
  <c r="H45" i="2"/>
  <c r="H33" i="2" l="1"/>
  <c r="H35" i="2" s="1"/>
  <c r="J36" i="2" l="1"/>
  <c r="L17" i="2" l="1"/>
  <c r="K18" i="1"/>
  <c r="O20" i="3" s="1"/>
  <c r="J18" i="1"/>
  <c r="M20" i="3" s="1"/>
  <c r="K17" i="2"/>
  <c r="O23" i="3" l="1"/>
  <c r="O36" i="3" s="1"/>
  <c r="O46" i="3"/>
  <c r="M23" i="3"/>
  <c r="M46" i="3"/>
  <c r="L43" i="2"/>
  <c r="L20" i="2"/>
  <c r="L33" i="2" s="1"/>
  <c r="K43" i="2"/>
  <c r="K20" i="2"/>
  <c r="M36" i="3" l="1"/>
  <c r="K33" i="2"/>
  <c r="H17" i="2" l="1"/>
  <c r="H21" i="1" l="1"/>
  <c r="H44" i="1"/>
  <c r="H43" i="2"/>
  <c r="H47" i="2"/>
  <c r="H34" i="1" l="1"/>
  <c r="H36" i="1" s="1"/>
  <c r="H48" i="1" s="1"/>
  <c r="I50" i="3" s="1"/>
  <c r="G17" i="2"/>
  <c r="I37" i="1" l="1"/>
  <c r="K20" i="3" l="1"/>
  <c r="J17" i="2"/>
  <c r="K46" i="3" l="1"/>
  <c r="K23" i="3"/>
  <c r="J20" i="2"/>
  <c r="J43" i="2"/>
  <c r="I21" i="1"/>
  <c r="I44" i="1"/>
  <c r="K36" i="3" l="1"/>
  <c r="K38" i="3" s="1"/>
  <c r="J33" i="2"/>
  <c r="J35" i="2" s="1"/>
  <c r="I34" i="1"/>
  <c r="I36" i="1" s="1"/>
  <c r="M39" i="3" l="1"/>
  <c r="M38" i="3"/>
  <c r="J37" i="1"/>
  <c r="I48" i="1"/>
  <c r="K50" i="3" s="1"/>
  <c r="K36" i="2"/>
  <c r="J47" i="2"/>
  <c r="K35" i="2"/>
  <c r="O39" i="3" l="1"/>
  <c r="O38" i="3"/>
  <c r="L35" i="2"/>
  <c r="L36" i="2"/>
  <c r="K47" i="2"/>
  <c r="L47" i="2" l="1"/>
  <c r="K46" i="1" l="1"/>
  <c r="O48" i="3" s="1"/>
  <c r="K21" i="1"/>
  <c r="K34" i="1" s="1"/>
  <c r="K44" i="1"/>
  <c r="J46" i="1"/>
  <c r="M48" i="3" s="1"/>
  <c r="J44" i="1"/>
  <c r="J21" i="1"/>
  <c r="J34" i="1" l="1"/>
  <c r="J36" i="1" s="1"/>
  <c r="K37" i="1" l="1"/>
  <c r="K36" i="1"/>
  <c r="K48" i="1" s="1"/>
  <c r="O50" i="3" s="1"/>
  <c r="J48" i="1"/>
  <c r="M50" i="3" s="1"/>
  <c r="G47" i="2" l="1"/>
  <c r="G48" i="1"/>
  <c r="G50" i="3" s="1"/>
  <c r="G13" i="2"/>
  <c r="G45" i="2" l="1"/>
  <c r="G43" i="2"/>
  <c r="G20" i="2"/>
  <c r="H41" i="2" l="1"/>
  <c r="G41" i="2"/>
  <c r="G33" i="2"/>
  <c r="J41" i="2"/>
  <c r="K41" i="2"/>
  <c r="L41" i="2"/>
  <c r="G14" i="1" l="1"/>
  <c r="G46" i="1" l="1"/>
  <c r="G48" i="3" s="1"/>
  <c r="G16" i="3"/>
  <c r="G44" i="1"/>
  <c r="G21" i="1"/>
  <c r="G23" i="3" l="1"/>
  <c r="G46" i="3"/>
  <c r="H42" i="1"/>
  <c r="H57" i="1"/>
  <c r="H58" i="1" s="1"/>
  <c r="K52" i="1"/>
  <c r="G42" i="1"/>
  <c r="G34" i="1"/>
  <c r="I42" i="1"/>
  <c r="K42" i="1"/>
  <c r="J42" i="1"/>
  <c r="G44" i="3" l="1"/>
  <c r="G36" i="3"/>
  <c r="I59" i="3"/>
  <c r="I60" i="3" s="1"/>
  <c r="I44" i="3"/>
  <c r="O54" i="3"/>
  <c r="M44" i="3"/>
  <c r="K44" i="3"/>
  <c r="O44" i="3"/>
</calcChain>
</file>

<file path=xl/sharedStrings.xml><?xml version="1.0" encoding="utf-8"?>
<sst xmlns="http://schemas.openxmlformats.org/spreadsheetml/2006/main" count="280" uniqueCount="91">
  <si>
    <t>POHJOIS-SAVON SAIRAANHOITOPIIRIN</t>
  </si>
  <si>
    <t>KUNTAYHTYMÄ</t>
  </si>
  <si>
    <t>Vuosikate</t>
  </si>
  <si>
    <t>+ / -</t>
  </si>
  <si>
    <t>Satunnaiset erät</t>
  </si>
  <si>
    <t>-</t>
  </si>
  <si>
    <t xml:space="preserve">Rahoitusosuudet investointimenoihin  </t>
  </si>
  <si>
    <t>+</t>
  </si>
  <si>
    <t>Pitkäaikaisten lainojen lisäys</t>
  </si>
  <si>
    <t>Tulorahoituksen korjauserät</t>
  </si>
  <si>
    <t>Antolainauksen muutokset</t>
  </si>
  <si>
    <t>Antolainasaamisten lisäykset</t>
  </si>
  <si>
    <t>Lainakannan muutokset</t>
  </si>
  <si>
    <t>Lyhytaikaisten lainojen muutos</t>
  </si>
  <si>
    <t>Oman pääoman muutokset</t>
  </si>
  <si>
    <t>RAHOITUSLASKELMA</t>
  </si>
  <si>
    <t>Lainakanta 31.12.</t>
  </si>
  <si>
    <t>Investointien tulorahoitus, %</t>
  </si>
  <si>
    <t>Pitkäaikaisten lainojen vähennys</t>
  </si>
  <si>
    <t>Kuopion yliopistollinen sairaala</t>
  </si>
  <si>
    <t>€</t>
  </si>
  <si>
    <t>Toiminnan rahavirta</t>
  </si>
  <si>
    <t>Investointien rahavirta</t>
  </si>
  <si>
    <t>Investointimenot</t>
  </si>
  <si>
    <t>Pysyvien vastaavien hyödykkeiden luovutusvoitot</t>
  </si>
  <si>
    <t>Toiminnan ja investointien rahavirta</t>
  </si>
  <si>
    <t>Rahoituksen rahavirta</t>
  </si>
  <si>
    <t>Vaikutus maksuvalmiuteen</t>
  </si>
  <si>
    <t>Rahavarat 31.12.</t>
  </si>
  <si>
    <t>Rahavarat 1.1</t>
  </si>
  <si>
    <t>Lainanhoitokate</t>
  </si>
  <si>
    <t xml:space="preserve">Kassan riittävyys, pv </t>
  </si>
  <si>
    <t>TP2011</t>
  </si>
  <si>
    <t>TP2010</t>
  </si>
  <si>
    <t>KYS</t>
  </si>
  <si>
    <t>VH</t>
  </si>
  <si>
    <t>TEKN</t>
  </si>
  <si>
    <t>HUOL</t>
  </si>
  <si>
    <t>LOG</t>
  </si>
  <si>
    <t>Toiminnan ja investointien rahavirran kertymä 5 vuodelta, M€</t>
  </si>
  <si>
    <t>tp2012</t>
  </si>
  <si>
    <t>tp2013</t>
  </si>
  <si>
    <t>Antolainasaamisten vähennykset</t>
  </si>
  <si>
    <t>tp2014</t>
  </si>
  <si>
    <t>tp2015</t>
  </si>
  <si>
    <t>TA 2018</t>
  </si>
  <si>
    <t>TS 2020</t>
  </si>
  <si>
    <t>TP2016</t>
  </si>
  <si>
    <t>TP 2017</t>
  </si>
  <si>
    <t>TA 2019</t>
  </si>
  <si>
    <t>TS 2021</t>
  </si>
  <si>
    <t>Annelta päivitetty taulukko</t>
  </si>
  <si>
    <t>OK</t>
  </si>
  <si>
    <t>toim&amp;invest rahavirta</t>
  </si>
  <si>
    <t>ok</t>
  </si>
  <si>
    <t>MUUTETTU</t>
  </si>
  <si>
    <t>TA2018</t>
  </si>
  <si>
    <t>vanha laskelma</t>
  </si>
  <si>
    <t>TP 2018</t>
  </si>
  <si>
    <t>TA 2020</t>
  </si>
  <si>
    <t>TS 2022</t>
  </si>
  <si>
    <t>TP2017</t>
  </si>
  <si>
    <t>Toiminnan ja investointien rahavirran kertymän seurataan investointien omarahoituksen toteutumista pitemmällä aikavälillä. Omarahoituksen tulisi olla suunnittelu vuotena positiivinen. Kertymän ei tulisi olla pysyvästi negatiivinen.</t>
  </si>
  <si>
    <t>RAHOITUSLASKELMAN TUNNUSLUVUT</t>
  </si>
  <si>
    <t>Toiminnan ja investointien rahavirran kertymä 5 vuodelta</t>
  </si>
  <si>
    <t>Investointien tulorahoitus -tunnusluku kertoo kuinka paljon investointien omahankin-tamenosta on rahoitettu tulorahoituksella. Tunnusluku vähennettynä sadasta osoittaa prosenttiosuuden, mikä on jäänyt rahoitettavaksi pääomarahoituksella eli pysyvien vastaavien hyödykkeiden myynnillä, lainalla tai rahavarojen määrää vähentämällä.</t>
  </si>
  <si>
    <t>Investointien omahankintamenolla tarkoitetaan rahoituslaskelman investointimenoja, joista on vähennetty rahoituslaskelmaan merkityt rahoitusosuudet.</t>
  </si>
  <si>
    <t>Lainanhoitokate kertoo kunnan tulorahoituksen riittävyyden vieraan pääoman korko-jen ja lyhennysten maksuun. Jos kunnan lainakannasta enemmän kuin 20 % on kerta-lyhenteisiä lainoja, otetaan lyhennyksen määräksi tunnuslukua laskettaessa laskennal-linen vuosilyhennys, joka saadaan jakamalla edellä mainittu lainakanta 31.12. kahdek-salla.</t>
  </si>
  <si>
    <t>Tulorahoitus riittää lainojen hoitoon, jos tunnusluvun arvo on 1 tai suurempi. Kun tunnusluvun arvo on alle 1, joudutaan vieraan pääoman hoitoon ottamaan lisälainaa, realisoimaan kunnan omaisuutta tai vähentämään rahavaroja.</t>
  </si>
  <si>
    <t>Luotettavan kuvan kunnan lainanhoitokyvystä saa tarkastelemalla tunnuslukua use-amman vuoden jaksolla. Kunnan lainanhoitokyky on hyvä, kun tunnusluvun arvo on yli 2, tyydyttävä kun tunnusluku on 1–2 ja heikko kun tunnusluvun arvo jää alle yh-den.</t>
  </si>
  <si>
    <t>Kunnan maksuvalmiutta kuvataan kassan riittävyytenä päivissä. Tunnusluku ilmaisee, monenko päivän kassasta maksut voidaan kattaa kunnan rahavaroilla. Rahavaroihin lasketaan rahoitusarvopaperit sekä rahat ja pankkisaamiset. Kassasta maksut kootaan seuraavista tilikauden tuloslaskelman ja rahoituslaskelman eristä:</t>
  </si>
  <si>
    <t>Tuloslaskelmasta:</t>
  </si>
  <si>
    <t>Toimintakulut - Valmistus omaan käyttöön</t>
  </si>
  <si>
    <t>Korkokulut</t>
  </si>
  <si>
    <t>Muut rahoituskulut</t>
  </si>
  <si>
    <t>Rahoituslaskelmasta:</t>
  </si>
  <si>
    <t>Antolainojen lisäys</t>
  </si>
  <si>
    <t>Pitkäaikaisten lainojen vähennys (lyhennykset)</t>
  </si>
  <si>
    <t>Kassan riittävyys voidaan esittää myös kuukausittaisena lukusarjana tai graafisesti. Rahavarojen määränä käytetään tällöin joko kuukauden päiväkohtaista keskisaldoa tai valittua kuukauden määräpäiväsaldoa. Kassasta maksuina käytetään kuukauden kas-sasta maksuja ja päiväkertoimena 30 pv.</t>
  </si>
  <si>
    <t>= 100 * Vuosikate / Investointien omahankintameno</t>
  </si>
  <si>
    <t>Investoinnit</t>
  </si>
  <si>
    <t>Lainanhoito</t>
  </si>
  <si>
    <t>Maksuvalmius</t>
  </si>
  <si>
    <t>= (Vuosikate + Korkokulut) / (Korkokulut + Lainanlyhennykset)</t>
  </si>
  <si>
    <t>Kassan riittävyys (pv)</t>
  </si>
  <si>
    <t>= 365 pv x Rahavarat 31.12. / Kassasta maksut tilikaudella</t>
  </si>
  <si>
    <t>Kunnan lainakannalla tarkoitetaan korollista vierasta pääomaa. Lainakantaan laske-taan tällöin koko vieras pääoma vähennettynä saaduilla ennakoilla sekä osto-, siirto- ja muilla veloilla. Jotta lainakanta voitaisiin laskea suoraan toimintakertomukseen ote-tusta taseesta, ei mainittuihin vähennettäviin eriin tule kirjanpidossa merkitä korollisia lainoja.</t>
  </si>
  <si>
    <t>= Vieras pääoma - (Saadut ennakot + Ostovelat + Siirtovelat + Muut velat)</t>
  </si>
  <si>
    <t xml:space="preserve"> RAHOITUSLASKELMA</t>
  </si>
  <si>
    <t xml:space="preserve"> Kuopion yliopistollinen sairaala</t>
  </si>
  <si>
    <t xml:space="preserve">16.006.452,27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</si>
</sst>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0"/>
      <name val="Arial"/>
    </font>
    <font>
      <sz val="10"/>
      <name val="Arial"/>
      <family val="2"/>
    </font>
    <font>
      <b/>
      <sz val="12"/>
      <name val="Arial"/>
      <family val="2"/>
    </font>
    <font>
      <b/>
      <sz val="11"/>
      <name val="Arial"/>
      <family val="2"/>
    </font>
    <font>
      <sz val="11"/>
      <name val="Arial"/>
      <family val="2"/>
    </font>
    <font>
      <i/>
      <sz val="11"/>
      <name val="Arial"/>
      <family val="2"/>
    </font>
    <font>
      <sz val="8"/>
      <name val="Arial"/>
      <family val="2"/>
    </font>
    <font>
      <sz val="11"/>
      <color rgb="FF0070C0"/>
      <name val="Arial"/>
      <family val="2"/>
    </font>
    <font>
      <sz val="11"/>
      <color rgb="FFFF0000"/>
      <name val="Arial"/>
      <family val="2"/>
    </font>
    <font>
      <b/>
      <sz val="11"/>
      <color rgb="FFFF0000"/>
      <name val="Arial"/>
      <family val="2"/>
    </font>
    <font>
      <i/>
      <sz val="11"/>
      <color theme="0" tint="-0.499984740745262"/>
      <name val="Arial"/>
      <family val="2"/>
    </font>
    <font>
      <sz val="11"/>
      <color theme="0" tint="-0.499984740745262"/>
      <name val="Arial"/>
      <family val="2"/>
    </font>
    <font>
      <b/>
      <sz val="11"/>
      <color theme="0" tint="-0.499984740745262"/>
      <name val="Arial"/>
      <family val="2"/>
    </font>
    <font>
      <sz val="10"/>
      <color theme="0" tint="-0.499984740745262"/>
      <name val="Arial"/>
      <family val="2"/>
    </font>
    <font>
      <sz val="10"/>
      <color rgb="FF0070C0"/>
      <name val="Arial"/>
      <family val="2"/>
    </font>
    <font>
      <u/>
      <sz val="11"/>
      <name val="Arial"/>
      <family val="2"/>
    </font>
    <font>
      <sz val="12"/>
      <name val="Arial"/>
      <family val="2"/>
    </font>
    <font>
      <sz val="11"/>
      <color rgb="FFFF0000"/>
      <name val="Calibri"/>
      <family val="2"/>
    </font>
  </fonts>
  <fills count="8">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rgb="FFFFF54D"/>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1">
    <xf numFmtId="0" fontId="0" fillId="0" borderId="0"/>
  </cellStyleXfs>
  <cellXfs count="140">
    <xf numFmtId="0" fontId="0" fillId="0" borderId="0" xfId="0"/>
    <xf numFmtId="3" fontId="0" fillId="0" borderId="0" xfId="0" applyNumberFormat="1"/>
    <xf numFmtId="0" fontId="3" fillId="0" borderId="0" xfId="0" applyFont="1"/>
    <xf numFmtId="0" fontId="4" fillId="0" borderId="0" xfId="0" applyFont="1"/>
    <xf numFmtId="3" fontId="4" fillId="0" borderId="0" xfId="0" applyNumberFormat="1" applyFont="1"/>
    <xf numFmtId="0" fontId="4" fillId="2" borderId="1" xfId="0" applyFont="1" applyFill="1" applyBorder="1"/>
    <xf numFmtId="3" fontId="4" fillId="2" borderId="1" xfId="0" applyNumberFormat="1" applyFont="1" applyFill="1" applyBorder="1"/>
    <xf numFmtId="3" fontId="4" fillId="2" borderId="2" xfId="0" applyNumberFormat="1" applyFont="1" applyFill="1" applyBorder="1"/>
    <xf numFmtId="0" fontId="4" fillId="2" borderId="3" xfId="0" applyFont="1" applyFill="1" applyBorder="1"/>
    <xf numFmtId="0" fontId="4" fillId="2" borderId="0" xfId="0" applyFont="1" applyFill="1" applyBorder="1"/>
    <xf numFmtId="3" fontId="4" fillId="2" borderId="0" xfId="0" applyNumberFormat="1" applyFont="1" applyFill="1" applyBorder="1"/>
    <xf numFmtId="3" fontId="4" fillId="2" borderId="4" xfId="0" applyNumberFormat="1" applyFont="1" applyFill="1" applyBorder="1"/>
    <xf numFmtId="0" fontId="3" fillId="2" borderId="3" xfId="0" applyFont="1" applyFill="1" applyBorder="1"/>
    <xf numFmtId="0" fontId="3" fillId="2" borderId="5" xfId="0" applyFont="1" applyFill="1" applyBorder="1"/>
    <xf numFmtId="0" fontId="4" fillId="2" borderId="6" xfId="0" applyFont="1" applyFill="1" applyBorder="1"/>
    <xf numFmtId="3" fontId="4" fillId="2" borderId="6" xfId="0" applyNumberFormat="1" applyFont="1" applyFill="1" applyBorder="1"/>
    <xf numFmtId="3" fontId="4" fillId="2" borderId="7" xfId="0" applyNumberFormat="1" applyFont="1" applyFill="1" applyBorder="1"/>
    <xf numFmtId="0" fontId="4" fillId="0" borderId="8" xfId="0" applyFont="1" applyBorder="1"/>
    <xf numFmtId="0" fontId="4" fillId="0" borderId="1" xfId="0" applyFont="1" applyBorder="1"/>
    <xf numFmtId="0" fontId="4" fillId="0" borderId="9" xfId="0" applyFont="1" applyBorder="1"/>
    <xf numFmtId="3" fontId="3" fillId="0" borderId="8" xfId="0" applyNumberFormat="1" applyFont="1" applyBorder="1" applyAlignment="1">
      <alignment horizontal="center"/>
    </xf>
    <xf numFmtId="0" fontId="4" fillId="0" borderId="5" xfId="0" applyFont="1" applyBorder="1"/>
    <xf numFmtId="0" fontId="4" fillId="0" borderId="6" xfId="0" applyFont="1" applyBorder="1"/>
    <xf numFmtId="0" fontId="4" fillId="0" borderId="10" xfId="0" applyFont="1" applyBorder="1"/>
    <xf numFmtId="3" fontId="3" fillId="0" borderId="5" xfId="0" applyNumberFormat="1" applyFont="1" applyBorder="1" applyAlignment="1">
      <alignment horizontal="center"/>
    </xf>
    <xf numFmtId="0" fontId="4" fillId="0" borderId="0" xfId="0" applyFont="1" applyBorder="1"/>
    <xf numFmtId="0" fontId="4" fillId="0" borderId="11" xfId="0" applyFont="1" applyBorder="1"/>
    <xf numFmtId="3" fontId="4" fillId="0" borderId="3" xfId="0" applyNumberFormat="1" applyFont="1" applyBorder="1"/>
    <xf numFmtId="0" fontId="4" fillId="0" borderId="3" xfId="0" applyFont="1" applyBorder="1"/>
    <xf numFmtId="3" fontId="4" fillId="0" borderId="11" xfId="0" applyNumberFormat="1" applyFont="1" applyBorder="1"/>
    <xf numFmtId="0" fontId="3" fillId="0" borderId="0" xfId="0" applyFont="1" applyBorder="1"/>
    <xf numFmtId="0" fontId="2" fillId="2" borderId="8" xfId="0" applyFont="1" applyFill="1" applyBorder="1"/>
    <xf numFmtId="4" fontId="0" fillId="0" borderId="0" xfId="0" applyNumberFormat="1"/>
    <xf numFmtId="0" fontId="1" fillId="0" borderId="0" xfId="0" applyFont="1"/>
    <xf numFmtId="3" fontId="3" fillId="0" borderId="0" xfId="0" applyNumberFormat="1" applyFont="1" applyFill="1" applyBorder="1"/>
    <xf numFmtId="0" fontId="4" fillId="0" borderId="0" xfId="0" applyFont="1" applyAlignment="1">
      <alignment horizontal="center"/>
    </xf>
    <xf numFmtId="3" fontId="3" fillId="0" borderId="3" xfId="0" applyNumberFormat="1" applyFont="1" applyBorder="1" applyAlignment="1">
      <alignment horizontal="center"/>
    </xf>
    <xf numFmtId="3" fontId="7" fillId="0" borderId="0" xfId="0" applyNumberFormat="1" applyFont="1"/>
    <xf numFmtId="3" fontId="7" fillId="2" borderId="1" xfId="0" applyNumberFormat="1" applyFont="1" applyFill="1" applyBorder="1"/>
    <xf numFmtId="3" fontId="7" fillId="2" borderId="0" xfId="0" applyNumberFormat="1" applyFont="1" applyFill="1" applyBorder="1"/>
    <xf numFmtId="3" fontId="7" fillId="2" borderId="6" xfId="0" applyNumberFormat="1" applyFont="1" applyFill="1" applyBorder="1"/>
    <xf numFmtId="3" fontId="7" fillId="0" borderId="3" xfId="0" applyNumberFormat="1" applyFont="1" applyBorder="1"/>
    <xf numFmtId="3" fontId="8" fillId="0" borderId="3" xfId="0" applyNumberFormat="1" applyFont="1" applyBorder="1"/>
    <xf numFmtId="3" fontId="8" fillId="0" borderId="11" xfId="0" applyNumberFormat="1" applyFont="1" applyBorder="1"/>
    <xf numFmtId="3" fontId="8" fillId="0" borderId="0" xfId="0" applyNumberFormat="1" applyFont="1"/>
    <xf numFmtId="3" fontId="4" fillId="3" borderId="11" xfId="0" applyNumberFormat="1" applyFont="1" applyFill="1" applyBorder="1"/>
    <xf numFmtId="3" fontId="1" fillId="0" borderId="0" xfId="0" applyNumberFormat="1" applyFont="1"/>
    <xf numFmtId="3" fontId="4" fillId="0" borderId="0" xfId="0" applyNumberFormat="1" applyFont="1" applyFill="1" applyBorder="1"/>
    <xf numFmtId="3" fontId="4" fillId="0" borderId="0" xfId="0" applyNumberFormat="1" applyFont="1" applyBorder="1"/>
    <xf numFmtId="3" fontId="7" fillId="0" borderId="0" xfId="0" applyNumberFormat="1" applyFont="1" applyBorder="1"/>
    <xf numFmtId="164" fontId="4" fillId="0" borderId="0" xfId="0" applyNumberFormat="1" applyFont="1" applyFill="1" applyBorder="1"/>
    <xf numFmtId="0" fontId="3" fillId="0" borderId="9" xfId="0" applyFont="1" applyBorder="1" applyAlignment="1">
      <alignment horizontal="center"/>
    </xf>
    <xf numFmtId="0" fontId="3" fillId="0" borderId="8" xfId="0" applyFont="1" applyBorder="1" applyAlignment="1">
      <alignment horizontal="center"/>
    </xf>
    <xf numFmtId="3" fontId="3" fillId="0" borderId="9" xfId="0" applyNumberFormat="1" applyFont="1" applyBorder="1" applyAlignment="1">
      <alignment horizontal="center"/>
    </xf>
    <xf numFmtId="3" fontId="3" fillId="0" borderId="11" xfId="0" applyNumberFormat="1" applyFont="1" applyBorder="1" applyAlignment="1">
      <alignment horizontal="center"/>
    </xf>
    <xf numFmtId="3" fontId="3" fillId="0" borderId="10" xfId="0" applyNumberFormat="1" applyFont="1" applyBorder="1" applyAlignment="1">
      <alignment horizontal="center"/>
    </xf>
    <xf numFmtId="2" fontId="1" fillId="0" borderId="0" xfId="0" applyNumberFormat="1" applyFont="1"/>
    <xf numFmtId="4" fontId="1" fillId="0" borderId="0" xfId="0" applyNumberFormat="1" applyFont="1"/>
    <xf numFmtId="3" fontId="4" fillId="3" borderId="3" xfId="0" applyNumberFormat="1" applyFont="1" applyFill="1" applyBorder="1"/>
    <xf numFmtId="3" fontId="9" fillId="0" borderId="0" xfId="0" applyNumberFormat="1" applyFont="1"/>
    <xf numFmtId="0" fontId="10" fillId="0" borderId="3" xfId="0" applyFont="1" applyBorder="1"/>
    <xf numFmtId="0" fontId="11" fillId="0" borderId="0" xfId="0" applyFont="1" applyBorder="1"/>
    <xf numFmtId="0" fontId="11" fillId="0" borderId="11" xfId="0" applyFont="1" applyBorder="1"/>
    <xf numFmtId="0" fontId="11" fillId="0" borderId="3" xfId="0" applyFont="1" applyBorder="1"/>
    <xf numFmtId="0" fontId="11" fillId="0" borderId="11" xfId="0" quotePrefix="1" applyFont="1" applyBorder="1" applyAlignment="1">
      <alignment horizontal="center"/>
    </xf>
    <xf numFmtId="0" fontId="11" fillId="0" borderId="11" xfId="0" applyFont="1" applyBorder="1" applyAlignment="1">
      <alignment horizontal="center"/>
    </xf>
    <xf numFmtId="0" fontId="12" fillId="0" borderId="3" xfId="0" applyFont="1" applyBorder="1"/>
    <xf numFmtId="0" fontId="12" fillId="0" borderId="0" xfId="0" applyFont="1" applyBorder="1"/>
    <xf numFmtId="0" fontId="12" fillId="0" borderId="11" xfId="0" quotePrefix="1" applyFont="1" applyBorder="1" applyAlignment="1">
      <alignment horizontal="center"/>
    </xf>
    <xf numFmtId="3" fontId="11" fillId="0" borderId="3" xfId="0" applyNumberFormat="1" applyFont="1" applyBorder="1"/>
    <xf numFmtId="3" fontId="11" fillId="0" borderId="11" xfId="0" applyNumberFormat="1" applyFont="1" applyBorder="1"/>
    <xf numFmtId="3" fontId="11" fillId="0" borderId="5" xfId="0" applyNumberFormat="1" applyFont="1" applyBorder="1"/>
    <xf numFmtId="3" fontId="11" fillId="0" borderId="10" xfId="0" applyNumberFormat="1" applyFont="1" applyBorder="1"/>
    <xf numFmtId="3" fontId="12" fillId="0" borderId="3" xfId="0" applyNumberFormat="1" applyFont="1" applyBorder="1"/>
    <xf numFmtId="3" fontId="12" fillId="0" borderId="11" xfId="0" applyNumberFormat="1" applyFont="1" applyBorder="1"/>
    <xf numFmtId="3" fontId="12" fillId="0" borderId="12" xfId="0" applyNumberFormat="1" applyFont="1" applyBorder="1"/>
    <xf numFmtId="3" fontId="11" fillId="0" borderId="11" xfId="0" applyNumberFormat="1" applyFont="1" applyFill="1" applyBorder="1"/>
    <xf numFmtId="164" fontId="11" fillId="0" borderId="11" xfId="0" applyNumberFormat="1" applyFont="1" applyFill="1" applyBorder="1"/>
    <xf numFmtId="164" fontId="11" fillId="0" borderId="3" xfId="0" applyNumberFormat="1" applyFont="1" applyFill="1" applyBorder="1"/>
    <xf numFmtId="164" fontId="11" fillId="0" borderId="0" xfId="0" applyNumberFormat="1" applyFont="1" applyFill="1" applyBorder="1"/>
    <xf numFmtId="3" fontId="11" fillId="0" borderId="0" xfId="0" applyNumberFormat="1" applyFont="1" applyFill="1" applyBorder="1"/>
    <xf numFmtId="3" fontId="11" fillId="0" borderId="6" xfId="0" applyNumberFormat="1" applyFont="1" applyFill="1" applyBorder="1"/>
    <xf numFmtId="3" fontId="11" fillId="0" borderId="10" xfId="0" applyNumberFormat="1" applyFont="1" applyFill="1" applyBorder="1"/>
    <xf numFmtId="3" fontId="11" fillId="0" borderId="0" xfId="0" applyNumberFormat="1" applyFont="1" applyBorder="1"/>
    <xf numFmtId="3" fontId="11" fillId="0" borderId="0" xfId="0" applyNumberFormat="1" applyFont="1"/>
    <xf numFmtId="3" fontId="11" fillId="3" borderId="11" xfId="0" applyNumberFormat="1" applyFont="1" applyFill="1" applyBorder="1"/>
    <xf numFmtId="0" fontId="13" fillId="0" borderId="0" xfId="0" applyFont="1"/>
    <xf numFmtId="3" fontId="13" fillId="0" borderId="0" xfId="0" applyNumberFormat="1" applyFont="1"/>
    <xf numFmtId="164" fontId="11" fillId="0" borderId="4" xfId="0" applyNumberFormat="1" applyFont="1" applyFill="1" applyBorder="1"/>
    <xf numFmtId="3" fontId="11" fillId="0" borderId="4" xfId="0" applyNumberFormat="1" applyFont="1" applyFill="1" applyBorder="1"/>
    <xf numFmtId="3" fontId="11" fillId="0" borderId="7" xfId="0" applyNumberFormat="1" applyFont="1" applyFill="1" applyBorder="1"/>
    <xf numFmtId="0" fontId="14" fillId="0" borderId="0" xfId="0" applyFont="1"/>
    <xf numFmtId="0" fontId="4" fillId="0" borderId="0" xfId="0" applyFont="1" applyFill="1" applyBorder="1"/>
    <xf numFmtId="0" fontId="3" fillId="0" borderId="0" xfId="0" applyFont="1" applyFill="1" applyBorder="1"/>
    <xf numFmtId="0" fontId="1" fillId="0" borderId="0" xfId="0" applyFont="1" applyFill="1"/>
    <xf numFmtId="0" fontId="4" fillId="0" borderId="0" xfId="0" applyFont="1" applyFill="1"/>
    <xf numFmtId="0" fontId="4" fillId="0" borderId="0" xfId="0" quotePrefix="1" applyFont="1"/>
    <xf numFmtId="0" fontId="15" fillId="0" borderId="0" xfId="0" applyFont="1"/>
    <xf numFmtId="0" fontId="0" fillId="0" borderId="0" xfId="0" applyAlignment="1">
      <alignment wrapText="1"/>
    </xf>
    <xf numFmtId="0" fontId="0" fillId="0" borderId="0" xfId="0" applyAlignment="1">
      <alignment wrapText="1"/>
    </xf>
    <xf numFmtId="0" fontId="4" fillId="0" borderId="0" xfId="0" applyFont="1" applyAlignment="1">
      <alignment wrapText="1"/>
    </xf>
    <xf numFmtId="0" fontId="16" fillId="0" borderId="0" xfId="0" applyFont="1"/>
    <xf numFmtId="0" fontId="4" fillId="4" borderId="0" xfId="0" applyFont="1" applyFill="1"/>
    <xf numFmtId="3" fontId="4" fillId="4" borderId="0" xfId="0" applyNumberFormat="1" applyFont="1" applyFill="1"/>
    <xf numFmtId="3" fontId="7" fillId="4" borderId="0" xfId="0" applyNumberFormat="1" applyFont="1" applyFill="1"/>
    <xf numFmtId="0" fontId="2" fillId="4" borderId="0" xfId="0" applyFont="1" applyFill="1" applyBorder="1"/>
    <xf numFmtId="0" fontId="4" fillId="4" borderId="0" xfId="0" applyFont="1" applyFill="1" applyBorder="1"/>
    <xf numFmtId="3" fontId="4" fillId="4" borderId="0" xfId="0" applyNumberFormat="1" applyFont="1" applyFill="1" applyBorder="1"/>
    <xf numFmtId="3" fontId="7" fillId="4" borderId="0" xfId="0" applyNumberFormat="1" applyFont="1" applyFill="1" applyBorder="1"/>
    <xf numFmtId="0" fontId="3" fillId="4" borderId="0" xfId="0" applyFont="1" applyFill="1" applyBorder="1"/>
    <xf numFmtId="0" fontId="4" fillId="5" borderId="0" xfId="0" applyFont="1" applyFill="1" applyBorder="1"/>
    <xf numFmtId="3" fontId="3" fillId="5" borderId="0" xfId="0" applyNumberFormat="1" applyFont="1" applyFill="1" applyBorder="1" applyAlignment="1">
      <alignment horizontal="center"/>
    </xf>
    <xf numFmtId="0" fontId="3" fillId="5" borderId="0" xfId="0" applyFont="1" applyFill="1" applyBorder="1" applyAlignment="1">
      <alignment horizontal="center"/>
    </xf>
    <xf numFmtId="0" fontId="5" fillId="5" borderId="0" xfId="0" applyFont="1" applyFill="1" applyBorder="1"/>
    <xf numFmtId="0" fontId="4" fillId="5" borderId="0" xfId="0" quotePrefix="1" applyFont="1" applyFill="1" applyBorder="1" applyAlignment="1">
      <alignment horizontal="center"/>
    </xf>
    <xf numFmtId="0" fontId="4" fillId="5" borderId="0" xfId="0" applyFont="1" applyFill="1" applyBorder="1" applyAlignment="1">
      <alignment horizontal="center"/>
    </xf>
    <xf numFmtId="0" fontId="3" fillId="5" borderId="0" xfId="0" applyFont="1" applyFill="1" applyBorder="1"/>
    <xf numFmtId="0" fontId="3" fillId="5" borderId="0" xfId="0" quotePrefix="1" applyFont="1" applyFill="1" applyBorder="1" applyAlignment="1">
      <alignment horizontal="center"/>
    </xf>
    <xf numFmtId="3" fontId="4" fillId="6" borderId="0" xfId="0" applyNumberFormat="1" applyFont="1" applyFill="1" applyBorder="1"/>
    <xf numFmtId="3" fontId="3" fillId="6" borderId="0" xfId="0" applyNumberFormat="1" applyFont="1" applyFill="1" applyBorder="1"/>
    <xf numFmtId="164" fontId="4" fillId="6" borderId="0" xfId="0" applyNumberFormat="1" applyFont="1" applyFill="1" applyBorder="1"/>
    <xf numFmtId="3" fontId="4" fillId="7" borderId="0" xfId="0" applyNumberFormat="1" applyFont="1" applyFill="1" applyBorder="1"/>
    <xf numFmtId="3" fontId="3" fillId="7" borderId="0" xfId="0" applyNumberFormat="1" applyFont="1" applyFill="1" applyBorder="1"/>
    <xf numFmtId="3" fontId="9" fillId="0" borderId="0" xfId="0" applyNumberFormat="1" applyFont="1" applyBorder="1"/>
    <xf numFmtId="0" fontId="5" fillId="0" borderId="0" xfId="0" applyFont="1" applyBorder="1"/>
    <xf numFmtId="0" fontId="4" fillId="0" borderId="0" xfId="0" quotePrefix="1" applyFont="1" applyBorder="1" applyAlignment="1">
      <alignment horizontal="center"/>
    </xf>
    <xf numFmtId="0" fontId="4" fillId="0" borderId="0" xfId="0" applyFont="1" applyBorder="1" applyAlignment="1">
      <alignment horizontal="center"/>
    </xf>
    <xf numFmtId="0" fontId="3" fillId="0" borderId="0" xfId="0" quotePrefix="1" applyFont="1" applyBorder="1" applyAlignment="1">
      <alignment horizontal="center"/>
    </xf>
    <xf numFmtId="3" fontId="3" fillId="0" borderId="0" xfId="0" applyNumberFormat="1" applyFont="1" applyBorder="1"/>
    <xf numFmtId="164" fontId="7" fillId="0" borderId="0" xfId="0" applyNumberFormat="1" applyFont="1" applyBorder="1"/>
    <xf numFmtId="164" fontId="4" fillId="0" borderId="0" xfId="0" applyNumberFormat="1" applyFont="1" applyBorder="1"/>
    <xf numFmtId="0" fontId="15" fillId="0" borderId="0" xfId="0" applyFont="1" applyBorder="1"/>
    <xf numFmtId="0" fontId="4" fillId="0" borderId="0" xfId="0" quotePrefix="1" applyFont="1" applyBorder="1"/>
    <xf numFmtId="0" fontId="4" fillId="0" borderId="0" xfId="0" applyFont="1" applyBorder="1" applyAlignment="1">
      <alignment wrapText="1"/>
    </xf>
    <xf numFmtId="0" fontId="0" fillId="0" borderId="0" xfId="0" applyBorder="1" applyAlignment="1">
      <alignment wrapText="1"/>
    </xf>
    <xf numFmtId="0" fontId="17" fillId="0" borderId="0" xfId="0" applyFont="1"/>
    <xf numFmtId="0" fontId="4" fillId="0" borderId="0" xfId="0" applyFont="1" applyBorder="1" applyAlignment="1">
      <alignment wrapText="1"/>
    </xf>
    <xf numFmtId="0" fontId="0" fillId="0" borderId="0" xfId="0" applyBorder="1" applyAlignment="1">
      <alignment wrapText="1"/>
    </xf>
    <xf numFmtId="0" fontId="4" fillId="0" borderId="0" xfId="0" applyFont="1" applyAlignment="1">
      <alignment wrapText="1"/>
    </xf>
    <xf numFmtId="0" fontId="0" fillId="0" borderId="0" xfId="0" applyAlignment="1">
      <alignment wrapText="1"/>
    </xf>
  </cellXfs>
  <cellStyles count="1">
    <cellStyle name="Normaali" xfId="0" builtinId="0"/>
  </cellStyles>
  <dxfs count="0"/>
  <tableStyles count="0" defaultTableStyle="TableStyleMedium2" defaultPivotStyle="PivotStyleLight16"/>
  <colors>
    <mruColors>
      <color rgb="FFFFFF99"/>
      <color rgb="FFFFF54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user/talousarvio/2020/Tasu/Kys/2020Tuloslaskelma%20pitk&#2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Talousarvio\Ta2020\Laskelmat\KYS\2020Kys_Investointios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Kys_Investointiosa_202005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Talousarvio\Ta2020\Laskelmat\KYS\2020Tuloslaskelma_esity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Talousarvio\Ta2019\Laskelmat\Apulaskelmat\2019Tuloslaskelma%20apulaskel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l1"/>
      <sheetName val="Taul2"/>
      <sheetName val="Taul3"/>
      <sheetName val="Taul4"/>
      <sheetName val="Taul5"/>
      <sheetName val="Taul6"/>
      <sheetName val="Taul7"/>
      <sheetName val="Taul8"/>
      <sheetName val="Taul9"/>
      <sheetName val="Taul10"/>
      <sheetName val="Taul11"/>
      <sheetName val="Taul12"/>
      <sheetName val="Taul13"/>
      <sheetName val="Taul14"/>
      <sheetName val="Taul15"/>
      <sheetName val="Taul16"/>
    </sheetNames>
    <sheetDataSet>
      <sheetData sheetId="0">
        <row r="66">
          <cell r="F66">
            <v>6036764.4999999357</v>
          </cell>
          <cell r="G66">
            <v>18766755</v>
          </cell>
          <cell r="I66">
            <v>38968574</v>
          </cell>
          <cell r="J66">
            <v>29815350</v>
          </cell>
          <cell r="K66">
            <v>33994102</v>
          </cell>
        </row>
        <row r="81">
          <cell r="G81">
            <v>5928089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l1"/>
      <sheetName val="Taul2"/>
      <sheetName val="Taul3"/>
      <sheetName val="Taul4"/>
      <sheetName val="Taul5"/>
      <sheetName val="Taul6"/>
      <sheetName val="Taul7"/>
      <sheetName val="Taul8"/>
      <sheetName val="Taul9"/>
      <sheetName val="Taul10"/>
      <sheetName val="Taul11"/>
      <sheetName val="Taul12"/>
      <sheetName val="Taul13"/>
      <sheetName val="Taul14"/>
      <sheetName val="Taul15"/>
      <sheetName val="Taul16"/>
    </sheetNames>
    <sheetDataSet>
      <sheetData sheetId="0">
        <row r="192">
          <cell r="F192">
            <v>-38450826.379999995</v>
          </cell>
          <cell r="G192">
            <v>-51835975</v>
          </cell>
          <cell r="H192">
            <v>-58015000</v>
          </cell>
          <cell r="I192">
            <v>-84900000</v>
          </cell>
          <cell r="J192">
            <v>-90000000</v>
          </cell>
        </row>
        <row r="193">
          <cell r="F193">
            <v>131622.02000000002</v>
          </cell>
          <cell r="G193">
            <v>140000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l1"/>
      <sheetName val="Taul2"/>
      <sheetName val="Taul3"/>
      <sheetName val="Taul4"/>
      <sheetName val="Taul5"/>
      <sheetName val="Taul6"/>
      <sheetName val="Taul7"/>
      <sheetName val="Taul8"/>
      <sheetName val="Taul9"/>
      <sheetName val="Taul10"/>
      <sheetName val="Taul11"/>
      <sheetName val="Taul12"/>
      <sheetName val="Taul13"/>
      <sheetName val="Taul14"/>
      <sheetName val="Taul15"/>
      <sheetName val="Taul16"/>
    </sheetNames>
    <sheetDataSet>
      <sheetData sheetId="0">
        <row r="193">
          <cell r="H193">
            <v>-56430000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l1"/>
      <sheetName val="Taul2"/>
      <sheetName val="Taul3"/>
      <sheetName val="Taul4"/>
      <sheetName val="Taul5"/>
      <sheetName val="Taul6"/>
      <sheetName val="Taul7"/>
      <sheetName val="Taul8"/>
      <sheetName val="Taul9"/>
      <sheetName val="Taul10"/>
      <sheetName val="Taul11"/>
      <sheetName val="Taul12"/>
      <sheetName val="Taul13"/>
      <sheetName val="Taul14"/>
      <sheetName val="Taul15"/>
      <sheetName val="Taul16"/>
    </sheetNames>
    <sheetDataSet>
      <sheetData sheetId="0">
        <row r="38">
          <cell r="F38">
            <v>1408976.26</v>
          </cell>
          <cell r="H38">
            <v>1567165</v>
          </cell>
          <cell r="L38">
            <v>1554611</v>
          </cell>
          <cell r="N38">
            <v>1570157</v>
          </cell>
          <cell r="P38">
            <v>1585859</v>
          </cell>
        </row>
        <row r="40">
          <cell r="F40">
            <v>-450399863.14000005</v>
          </cell>
          <cell r="H40">
            <v>-444450265</v>
          </cell>
          <cell r="L40">
            <v>-441360561</v>
          </cell>
          <cell r="N40">
            <v>-444361000</v>
          </cell>
          <cell r="P40">
            <v>-448804610</v>
          </cell>
        </row>
        <row r="62">
          <cell r="F62">
            <v>-2627551.11</v>
          </cell>
          <cell r="H62">
            <v>-3412897</v>
          </cell>
          <cell r="L62">
            <v>-3500000</v>
          </cell>
          <cell r="N62">
            <v>-3700000</v>
          </cell>
          <cell r="P62">
            <v>-4500000</v>
          </cell>
        </row>
        <row r="63">
          <cell r="F63">
            <v>-1049006.0900000001</v>
          </cell>
          <cell r="H63">
            <v>-29325</v>
          </cell>
          <cell r="L63">
            <v>-47551</v>
          </cell>
          <cell r="N63">
            <v>-48000</v>
          </cell>
          <cell r="P63">
            <v>-48480</v>
          </cell>
        </row>
        <row r="67">
          <cell r="F67">
            <v>6036764.4999999357</v>
          </cell>
        </row>
        <row r="83">
          <cell r="F83">
            <v>9337238.0700000003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l1"/>
      <sheetName val="Taul2"/>
      <sheetName val="Taul3"/>
      <sheetName val="Taul4"/>
      <sheetName val="Taul5"/>
      <sheetName val="Taul6"/>
      <sheetName val="Taul7"/>
      <sheetName val="Taul8"/>
      <sheetName val="Taul9"/>
      <sheetName val="Taul10"/>
      <sheetName val="Taul11"/>
      <sheetName val="Taul12"/>
      <sheetName val="Taul13"/>
      <sheetName val="Taul14"/>
      <sheetName val="Taul15"/>
      <sheetName val="Taul16"/>
    </sheetNames>
    <sheetDataSet>
      <sheetData sheetId="0">
        <row r="75">
          <cell r="H75">
            <v>24226060</v>
          </cell>
          <cell r="I75">
            <v>19377755</v>
          </cell>
          <cell r="J75">
            <v>28899228</v>
          </cell>
        </row>
        <row r="93">
          <cell r="H93">
            <v>2000000</v>
          </cell>
          <cell r="I93">
            <v>5928089</v>
          </cell>
          <cell r="J9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zoomScale="110" zoomScaleNormal="110" workbookViewId="0">
      <pane ySplit="12" topLeftCell="A25" activePane="bottomLeft" state="frozen"/>
      <selection pane="bottomLeft" activeCell="I40" sqref="I40"/>
    </sheetView>
  </sheetViews>
  <sheetFormatPr defaultColWidth="9.140625" defaultRowHeight="14.25" x14ac:dyDescent="0.2"/>
  <cols>
    <col min="1" max="1" width="2.85546875" style="25" customWidth="1"/>
    <col min="2" max="4" width="9.140625" style="25"/>
    <col min="5" max="5" width="27.140625" style="25" customWidth="1"/>
    <col min="6" max="6" width="5.85546875" style="25" customWidth="1"/>
    <col min="7" max="7" width="16.7109375" style="48" customWidth="1"/>
    <col min="8" max="9" width="16.7109375" style="49" customWidth="1"/>
    <col min="10" max="11" width="16.7109375" style="48" customWidth="1"/>
    <col min="12" max="12" width="8.85546875"/>
    <col min="13" max="13" width="12.28515625" hidden="1" customWidth="1"/>
    <col min="14" max="14" width="11.140625" bestFit="1" customWidth="1"/>
    <col min="15" max="15" width="15.28515625" customWidth="1"/>
    <col min="16" max="16" width="11.5703125" bestFit="1" customWidth="1"/>
    <col min="17" max="17" width="8.85546875" customWidth="1"/>
    <col min="18" max="16384" width="9.140625" style="3"/>
  </cols>
  <sheetData>
    <row r="1" spans="1:14" ht="15" x14ac:dyDescent="0.25">
      <c r="A1" s="30" t="s">
        <v>0</v>
      </c>
    </row>
    <row r="2" spans="1:14" ht="15" x14ac:dyDescent="0.25">
      <c r="A2" s="30" t="s">
        <v>1</v>
      </c>
      <c r="J2" s="123"/>
      <c r="N2" s="44"/>
    </row>
    <row r="3" spans="1:14" ht="15" x14ac:dyDescent="0.25">
      <c r="A3" s="30"/>
      <c r="N3" s="37"/>
    </row>
    <row r="5" spans="1:14" x14ac:dyDescent="0.2">
      <c r="A5" s="106"/>
      <c r="B5" s="106"/>
      <c r="C5" s="106"/>
      <c r="D5" s="106"/>
      <c r="E5" s="106"/>
      <c r="F5" s="106"/>
      <c r="G5" s="107"/>
      <c r="H5" s="108"/>
      <c r="I5" s="108"/>
      <c r="J5" s="107"/>
      <c r="K5" s="107"/>
    </row>
    <row r="6" spans="1:14" ht="14.25" customHeight="1" x14ac:dyDescent="0.25">
      <c r="A6" s="105" t="s">
        <v>88</v>
      </c>
      <c r="B6" s="106"/>
      <c r="C6" s="106"/>
      <c r="D6" s="106"/>
      <c r="E6" s="106"/>
      <c r="F6" s="106"/>
      <c r="G6" s="107"/>
      <c r="H6" s="108"/>
      <c r="I6" s="108"/>
      <c r="J6" s="107"/>
      <c r="K6" s="107"/>
    </row>
    <row r="7" spans="1:14" ht="14.25" customHeight="1" x14ac:dyDescent="0.2">
      <c r="A7" s="106"/>
      <c r="B7" s="106"/>
      <c r="C7" s="106"/>
      <c r="D7" s="106"/>
      <c r="E7" s="106"/>
      <c r="F7" s="106"/>
      <c r="G7" s="107"/>
      <c r="H7" s="108"/>
      <c r="I7" s="108"/>
      <c r="J7" s="107"/>
      <c r="K7" s="107"/>
    </row>
    <row r="8" spans="1:14" ht="14.25" customHeight="1" x14ac:dyDescent="0.25">
      <c r="A8" s="109" t="s">
        <v>89</v>
      </c>
      <c r="B8" s="106"/>
      <c r="C8" s="106"/>
      <c r="D8" s="106"/>
      <c r="E8" s="106"/>
      <c r="F8" s="106"/>
      <c r="G8" s="107"/>
      <c r="H8" s="108"/>
      <c r="I8" s="108"/>
      <c r="J8" s="107"/>
      <c r="K8" s="107"/>
    </row>
    <row r="9" spans="1:14" ht="14.25" customHeight="1" x14ac:dyDescent="0.25">
      <c r="A9" s="109"/>
      <c r="B9" s="106"/>
      <c r="C9" s="106"/>
      <c r="D9" s="106"/>
      <c r="E9" s="106"/>
      <c r="F9" s="106"/>
      <c r="G9" s="107"/>
      <c r="H9" s="108"/>
      <c r="I9" s="108"/>
      <c r="J9" s="107"/>
      <c r="K9" s="107"/>
    </row>
    <row r="10" spans="1:14" ht="15" x14ac:dyDescent="0.25">
      <c r="A10" s="110"/>
      <c r="B10" s="110"/>
      <c r="C10" s="110"/>
      <c r="D10" s="110"/>
      <c r="E10" s="110"/>
      <c r="F10" s="110"/>
      <c r="G10" s="111" t="s">
        <v>58</v>
      </c>
      <c r="H10" s="112" t="s">
        <v>55</v>
      </c>
      <c r="I10" s="112" t="s">
        <v>55</v>
      </c>
      <c r="J10" s="111" t="s">
        <v>50</v>
      </c>
      <c r="K10" s="111" t="s">
        <v>60</v>
      </c>
      <c r="L10" s="33"/>
      <c r="M10" s="33"/>
      <c r="N10" s="33"/>
    </row>
    <row r="11" spans="1:14" ht="15" x14ac:dyDescent="0.25">
      <c r="A11" s="110"/>
      <c r="B11" s="110"/>
      <c r="C11" s="110"/>
      <c r="D11" s="110"/>
      <c r="E11" s="110"/>
      <c r="F11" s="110"/>
      <c r="G11" s="111" t="s">
        <v>20</v>
      </c>
      <c r="H11" s="111" t="s">
        <v>49</v>
      </c>
      <c r="I11" s="111" t="s">
        <v>59</v>
      </c>
      <c r="J11" s="111" t="s">
        <v>20</v>
      </c>
      <c r="K11" s="111" t="s">
        <v>20</v>
      </c>
      <c r="L11" s="33"/>
      <c r="M11" s="33"/>
      <c r="N11" s="33"/>
    </row>
    <row r="12" spans="1:14" ht="15" x14ac:dyDescent="0.25">
      <c r="A12" s="110"/>
      <c r="B12" s="110"/>
      <c r="C12" s="110"/>
      <c r="D12" s="110"/>
      <c r="E12" s="110"/>
      <c r="F12" s="110"/>
      <c r="G12" s="111"/>
      <c r="H12" s="111" t="s">
        <v>20</v>
      </c>
      <c r="I12" s="111" t="s">
        <v>20</v>
      </c>
      <c r="J12" s="111"/>
      <c r="K12" s="111"/>
      <c r="L12" s="33"/>
      <c r="M12" s="33"/>
      <c r="N12" s="33"/>
    </row>
    <row r="13" spans="1:14" x14ac:dyDescent="0.2">
      <c r="A13" s="124" t="s">
        <v>21</v>
      </c>
      <c r="H13" s="48"/>
      <c r="I13" s="48"/>
      <c r="L13" s="33"/>
      <c r="M13" s="33"/>
      <c r="N13" s="33"/>
    </row>
    <row r="14" spans="1:14" ht="14.25" customHeight="1" x14ac:dyDescent="0.2">
      <c r="B14" s="25" t="s">
        <v>2</v>
      </c>
      <c r="F14" s="125" t="s">
        <v>3</v>
      </c>
      <c r="G14" s="48">
        <f>[1]Taul1!F66</f>
        <v>6036764.4999999357</v>
      </c>
      <c r="H14" s="48">
        <f>[1]Taul1!$G$66</f>
        <v>18766755</v>
      </c>
      <c r="I14" s="48">
        <f>[1]Taul1!I66</f>
        <v>38968574</v>
      </c>
      <c r="J14" s="48">
        <f>[1]Taul1!J66</f>
        <v>29815350</v>
      </c>
      <c r="K14" s="48">
        <f>[1]Taul1!K66</f>
        <v>33994102</v>
      </c>
      <c r="L14" s="33"/>
      <c r="M14" s="46"/>
      <c r="N14" s="33"/>
    </row>
    <row r="15" spans="1:14" x14ac:dyDescent="0.2">
      <c r="B15" s="25" t="s">
        <v>4</v>
      </c>
      <c r="F15" s="125" t="s">
        <v>3</v>
      </c>
      <c r="G15" s="48">
        <f>776700</f>
        <v>776700</v>
      </c>
      <c r="H15" s="48">
        <f>[1]Taul1!G81</f>
        <v>5928089</v>
      </c>
      <c r="I15" s="48"/>
      <c r="L15" s="33"/>
      <c r="M15" s="33"/>
      <c r="N15" s="46"/>
    </row>
    <row r="16" spans="1:14" x14ac:dyDescent="0.2">
      <c r="B16" s="25" t="s">
        <v>9</v>
      </c>
      <c r="F16" s="125" t="s">
        <v>3</v>
      </c>
      <c r="G16" s="48">
        <v>2587498</v>
      </c>
      <c r="H16" s="48"/>
      <c r="I16" s="47"/>
      <c r="J16" s="47"/>
      <c r="K16" s="47"/>
      <c r="L16" s="33"/>
      <c r="M16" s="33"/>
      <c r="N16" s="33"/>
    </row>
    <row r="17" spans="1:17" x14ac:dyDescent="0.2">
      <c r="A17" s="124" t="s">
        <v>22</v>
      </c>
      <c r="F17" s="126"/>
      <c r="H17" s="48"/>
      <c r="I17" s="47"/>
      <c r="J17" s="47"/>
      <c r="K17" s="47"/>
      <c r="L17" s="33"/>
      <c r="M17" s="33"/>
      <c r="N17" s="33"/>
    </row>
    <row r="18" spans="1:17" x14ac:dyDescent="0.2">
      <c r="B18" s="25" t="s">
        <v>23</v>
      </c>
      <c r="F18" s="126" t="s">
        <v>5</v>
      </c>
      <c r="G18" s="48">
        <v>-31422676.379999999</v>
      </c>
      <c r="H18" s="48">
        <f>[2]Taul1!G192</f>
        <v>-51835975</v>
      </c>
      <c r="I18" s="48">
        <f>[3]Taul1!$H$193</f>
        <v>-56430000</v>
      </c>
      <c r="J18" s="48">
        <f>[2]Taul1!I192</f>
        <v>-84900000</v>
      </c>
      <c r="K18" s="48">
        <f>[2]Taul1!J192</f>
        <v>-90000000</v>
      </c>
      <c r="L18" s="91"/>
      <c r="M18" s="46"/>
      <c r="N18" s="33"/>
    </row>
    <row r="19" spans="1:17" x14ac:dyDescent="0.2">
      <c r="B19" s="92" t="s">
        <v>6</v>
      </c>
      <c r="F19" s="126" t="s">
        <v>7</v>
      </c>
      <c r="G19" s="48">
        <f>[2]Taul1!F193</f>
        <v>131622.02000000002</v>
      </c>
      <c r="H19" s="48">
        <f>[2]Taul1!G193</f>
        <v>140000</v>
      </c>
      <c r="I19" s="47"/>
      <c r="L19" s="33"/>
      <c r="M19" s="33"/>
      <c r="N19" s="33"/>
    </row>
    <row r="20" spans="1:17" x14ac:dyDescent="0.2">
      <c r="B20" s="92" t="s">
        <v>24</v>
      </c>
      <c r="F20" s="126" t="s">
        <v>7</v>
      </c>
      <c r="G20" s="48">
        <v>2290000</v>
      </c>
      <c r="H20" s="48"/>
      <c r="I20" s="48"/>
      <c r="L20" s="33"/>
      <c r="M20" s="33"/>
      <c r="N20" s="33"/>
    </row>
    <row r="21" spans="1:17" s="2" customFormat="1" ht="15" x14ac:dyDescent="0.25">
      <c r="A21" s="30" t="s">
        <v>25</v>
      </c>
      <c r="B21" s="93"/>
      <c r="C21" s="30"/>
      <c r="D21" s="30"/>
      <c r="E21" s="30"/>
      <c r="F21" s="127" t="s">
        <v>3</v>
      </c>
      <c r="G21" s="128">
        <f>SUM(G14:G20)</f>
        <v>-19600091.860000063</v>
      </c>
      <c r="H21" s="128">
        <f t="shared" ref="H21:K21" si="0">SUM(H14:H20)</f>
        <v>-27001131</v>
      </c>
      <c r="I21" s="128">
        <f t="shared" si="0"/>
        <v>-17461426</v>
      </c>
      <c r="J21" s="128">
        <f t="shared" si="0"/>
        <v>-55084650</v>
      </c>
      <c r="K21" s="128">
        <f t="shared" si="0"/>
        <v>-56005898</v>
      </c>
      <c r="L21" s="33"/>
      <c r="M21" s="34"/>
      <c r="N21" s="56"/>
      <c r="O21"/>
      <c r="P21"/>
      <c r="Q21"/>
    </row>
    <row r="22" spans="1:17" x14ac:dyDescent="0.2">
      <c r="B22" s="92"/>
      <c r="F22" s="125"/>
      <c r="H22" s="48"/>
      <c r="I22" s="48"/>
      <c r="L22" s="33"/>
      <c r="M22" s="33"/>
      <c r="N22" s="57"/>
    </row>
    <row r="23" spans="1:17" ht="15" x14ac:dyDescent="0.25">
      <c r="A23" s="30" t="s">
        <v>26</v>
      </c>
      <c r="F23" s="125"/>
      <c r="H23" s="48"/>
      <c r="I23" s="48"/>
      <c r="L23" s="33"/>
      <c r="M23" s="33"/>
      <c r="N23" s="57"/>
    </row>
    <row r="24" spans="1:17" x14ac:dyDescent="0.2">
      <c r="A24" s="124" t="s">
        <v>10</v>
      </c>
      <c r="F24" s="126"/>
      <c r="H24" s="48"/>
      <c r="I24" s="48"/>
      <c r="N24" s="32"/>
    </row>
    <row r="25" spans="1:17" x14ac:dyDescent="0.2">
      <c r="B25" s="25" t="s">
        <v>11</v>
      </c>
      <c r="F25" s="125" t="s">
        <v>5</v>
      </c>
      <c r="H25" s="48"/>
      <c r="I25" s="48"/>
      <c r="O25" s="1"/>
    </row>
    <row r="26" spans="1:17" x14ac:dyDescent="0.2">
      <c r="B26" s="25" t="s">
        <v>42</v>
      </c>
      <c r="F26" s="125" t="s">
        <v>7</v>
      </c>
      <c r="G26" s="48">
        <v>500000</v>
      </c>
      <c r="H26" s="48">
        <v>500000</v>
      </c>
      <c r="I26" s="47">
        <v>500000</v>
      </c>
      <c r="J26" s="47">
        <v>500000</v>
      </c>
      <c r="K26" s="47">
        <v>500000</v>
      </c>
    </row>
    <row r="27" spans="1:17" x14ac:dyDescent="0.2">
      <c r="A27" s="124" t="s">
        <v>12</v>
      </c>
      <c r="F27" s="125"/>
      <c r="H27" s="48"/>
      <c r="I27" s="47"/>
      <c r="J27" s="47"/>
      <c r="K27" s="47"/>
    </row>
    <row r="28" spans="1:17" x14ac:dyDescent="0.2">
      <c r="A28" s="124"/>
      <c r="B28" s="25" t="s">
        <v>8</v>
      </c>
      <c r="F28" s="125" t="s">
        <v>7</v>
      </c>
      <c r="G28" s="48">
        <v>46000000</v>
      </c>
      <c r="H28" s="48">
        <v>42000000</v>
      </c>
      <c r="I28" s="47">
        <v>80000000</v>
      </c>
      <c r="J28" s="47">
        <v>72500000</v>
      </c>
      <c r="K28" s="47">
        <v>75500000</v>
      </c>
      <c r="M28" s="33"/>
    </row>
    <row r="29" spans="1:17" x14ac:dyDescent="0.2">
      <c r="B29" s="25" t="s">
        <v>18</v>
      </c>
      <c r="F29" s="125" t="s">
        <v>5</v>
      </c>
      <c r="G29" s="48">
        <v>-10229794.029999999</v>
      </c>
      <c r="H29" s="48">
        <v>-13621000</v>
      </c>
      <c r="I29" s="47">
        <f>-13621000-2000000</f>
        <v>-15621000</v>
      </c>
      <c r="J29" s="47">
        <f>I29-2000000</f>
        <v>-17621000</v>
      </c>
      <c r="K29" s="47">
        <f>J29-2000000</f>
        <v>-19621000</v>
      </c>
      <c r="M29" s="33"/>
      <c r="N29" s="1"/>
      <c r="O29" s="1"/>
      <c r="P29" s="33"/>
    </row>
    <row r="30" spans="1:17" x14ac:dyDescent="0.2">
      <c r="B30" s="25" t="s">
        <v>13</v>
      </c>
      <c r="F30" s="125" t="s">
        <v>3</v>
      </c>
      <c r="G30" s="48">
        <v>51800</v>
      </c>
      <c r="H30" s="48"/>
      <c r="I30" s="47"/>
      <c r="J30" s="47"/>
      <c r="K30" s="47"/>
    </row>
    <row r="31" spans="1:17" ht="15" x14ac:dyDescent="0.25">
      <c r="A31" s="124" t="s">
        <v>14</v>
      </c>
      <c r="F31" s="125" t="s">
        <v>3</v>
      </c>
      <c r="G31" s="48">
        <v>-403.1</v>
      </c>
      <c r="H31" s="48">
        <v>7000000</v>
      </c>
      <c r="I31" s="48">
        <v>16006452</v>
      </c>
      <c r="O31" s="135" t="s">
        <v>90</v>
      </c>
    </row>
    <row r="32" spans="1:17" ht="15" x14ac:dyDescent="0.25">
      <c r="A32" s="25" t="s">
        <v>26</v>
      </c>
      <c r="F32" s="125"/>
      <c r="G32" s="128">
        <f t="shared" ref="G32:K32" si="1">SUM(G25:G31)</f>
        <v>36321602.869999997</v>
      </c>
      <c r="H32" s="128">
        <f t="shared" si="1"/>
        <v>35879000</v>
      </c>
      <c r="I32" s="128">
        <f t="shared" si="1"/>
        <v>80885452</v>
      </c>
      <c r="J32" s="128">
        <f t="shared" si="1"/>
        <v>55379000</v>
      </c>
      <c r="K32" s="128">
        <f t="shared" si="1"/>
        <v>56379000</v>
      </c>
      <c r="M32" s="1"/>
    </row>
    <row r="33" spans="1:17" x14ac:dyDescent="0.2">
      <c r="A33" s="124"/>
      <c r="F33" s="125"/>
      <c r="H33" s="48"/>
      <c r="I33" s="48"/>
      <c r="O33" s="1"/>
    </row>
    <row r="34" spans="1:17" s="2" customFormat="1" ht="15" x14ac:dyDescent="0.25">
      <c r="A34" s="30" t="s">
        <v>27</v>
      </c>
      <c r="B34" s="30"/>
      <c r="C34" s="30"/>
      <c r="D34" s="30"/>
      <c r="E34" s="30"/>
      <c r="F34" s="127" t="s">
        <v>3</v>
      </c>
      <c r="G34" s="128">
        <f>G21+G32</f>
        <v>16721511.009999935</v>
      </c>
      <c r="H34" s="128">
        <f>H21+H32</f>
        <v>8877869</v>
      </c>
      <c r="I34" s="128">
        <f t="shared" ref="I34:K34" si="2">I21+I32</f>
        <v>63424026</v>
      </c>
      <c r="J34" s="128">
        <f t="shared" si="2"/>
        <v>294350</v>
      </c>
      <c r="K34" s="128">
        <f t="shared" si="2"/>
        <v>373102</v>
      </c>
      <c r="L34"/>
      <c r="M34" s="1"/>
      <c r="N34"/>
      <c r="O34"/>
      <c r="P34"/>
      <c r="Q34"/>
    </row>
    <row r="35" spans="1:17" x14ac:dyDescent="0.2">
      <c r="F35" s="126"/>
      <c r="H35" s="48"/>
      <c r="I35" s="48"/>
      <c r="N35" s="1"/>
      <c r="O35" s="1"/>
    </row>
    <row r="36" spans="1:17" x14ac:dyDescent="0.2">
      <c r="A36" s="25" t="s">
        <v>28</v>
      </c>
      <c r="F36" s="126"/>
      <c r="G36" s="48">
        <v>32712613.239999998</v>
      </c>
      <c r="H36" s="48">
        <f>H34+G36</f>
        <v>41590482.239999995</v>
      </c>
      <c r="I36" s="48">
        <f>H36+I34</f>
        <v>105014508.23999999</v>
      </c>
      <c r="J36" s="48">
        <f t="shared" ref="J36:K36" si="3">I36+J34</f>
        <v>105308858.23999999</v>
      </c>
      <c r="K36" s="48">
        <f t="shared" si="3"/>
        <v>105681960.23999999</v>
      </c>
      <c r="L36" s="33"/>
      <c r="M36" s="46"/>
      <c r="N36" s="46"/>
    </row>
    <row r="37" spans="1:17" x14ac:dyDescent="0.2">
      <c r="A37" s="25" t="s">
        <v>29</v>
      </c>
      <c r="F37" s="126"/>
      <c r="G37" s="48">
        <v>8201964.5099999998</v>
      </c>
      <c r="H37" s="48">
        <f>G36</f>
        <v>32712613.239999998</v>
      </c>
      <c r="I37" s="48">
        <f>H36</f>
        <v>41590482.239999995</v>
      </c>
      <c r="J37" s="48">
        <f t="shared" ref="J37:K37" si="4">I36</f>
        <v>105014508.23999999</v>
      </c>
      <c r="K37" s="48">
        <f t="shared" si="4"/>
        <v>105308858.23999999</v>
      </c>
      <c r="L37" s="33"/>
      <c r="M37" s="33"/>
      <c r="N37" s="46"/>
    </row>
    <row r="38" spans="1:17" x14ac:dyDescent="0.2">
      <c r="F38" s="126"/>
      <c r="H38" s="48"/>
      <c r="I38" s="48"/>
      <c r="N38" s="1"/>
    </row>
    <row r="39" spans="1:17" x14ac:dyDescent="0.2">
      <c r="F39" s="126"/>
      <c r="H39" s="48"/>
      <c r="I39" s="48"/>
      <c r="N39" s="1"/>
    </row>
    <row r="40" spans="1:17" x14ac:dyDescent="0.2">
      <c r="A40" s="25" t="s">
        <v>16</v>
      </c>
      <c r="F40" s="126"/>
      <c r="G40" s="47">
        <v>258135574.59999999</v>
      </c>
      <c r="H40" s="47">
        <f>G40+H28+H29</f>
        <v>286514574.60000002</v>
      </c>
      <c r="I40" s="47">
        <f>H40+I28+I29</f>
        <v>350893574.60000002</v>
      </c>
      <c r="J40" s="47">
        <f>I40+J28+J29</f>
        <v>405772574.60000002</v>
      </c>
      <c r="K40" s="47">
        <f>J40+K28+K29</f>
        <v>461651574.60000002</v>
      </c>
      <c r="M40" s="33">
        <v>245861338.88999999</v>
      </c>
      <c r="N40" s="1"/>
    </row>
    <row r="41" spans="1:17" x14ac:dyDescent="0.2">
      <c r="F41" s="126"/>
      <c r="G41" s="47"/>
      <c r="H41" s="47"/>
      <c r="I41" s="47"/>
      <c r="J41" s="47"/>
      <c r="K41" s="47"/>
      <c r="M41">
        <v>14871115.710000001</v>
      </c>
    </row>
    <row r="42" spans="1:17" x14ac:dyDescent="0.2">
      <c r="A42" s="25" t="s">
        <v>39</v>
      </c>
      <c r="F42" s="126"/>
      <c r="G42" s="50">
        <f>(G21+K53+K54+K55+K56)/1000000</f>
        <v>-175.90696698000008</v>
      </c>
      <c r="H42" s="50">
        <f>(H21+G21+K53+K54+K55)/1000000</f>
        <v>-137.40890484000008</v>
      </c>
      <c r="I42" s="50">
        <f>(I21+H21+G21+K53+K54)/1000000</f>
        <v>-108.50729891000006</v>
      </c>
      <c r="J42" s="50">
        <f>(J21+I21+H21+G21+K53)/1000000</f>
        <v>-132.40950822000005</v>
      </c>
      <c r="K42" s="50">
        <f>(H21+G21+I21+J21+K21)/1000000</f>
        <v>-175.15319686000007</v>
      </c>
      <c r="L42" s="33"/>
      <c r="M42" s="33">
        <v>-2596880</v>
      </c>
      <c r="N42" s="33"/>
      <c r="O42" s="33"/>
      <c r="P42" s="33"/>
      <c r="Q42" s="33"/>
    </row>
    <row r="43" spans="1:17" x14ac:dyDescent="0.2">
      <c r="G43" s="47"/>
      <c r="H43" s="47"/>
      <c r="I43" s="47"/>
      <c r="J43" s="47"/>
      <c r="K43" s="47"/>
      <c r="L43" s="33"/>
      <c r="M43" s="33">
        <f>SUM(M40:M42)</f>
        <v>258135574.59999999</v>
      </c>
      <c r="N43" s="33"/>
      <c r="O43" s="33"/>
      <c r="P43" s="33"/>
      <c r="Q43" s="33"/>
    </row>
    <row r="44" spans="1:17" x14ac:dyDescent="0.2">
      <c r="A44" s="25" t="s">
        <v>17</v>
      </c>
      <c r="G44" s="50">
        <f>-100*G14/(G18+G19)</f>
        <v>19.292301341295985</v>
      </c>
      <c r="H44" s="50">
        <f t="shared" ref="H44:K44" si="5">-100*H14/(H18+H19)</f>
        <v>36.302158920496225</v>
      </c>
      <c r="I44" s="50">
        <f t="shared" si="5"/>
        <v>69.056484139642038</v>
      </c>
      <c r="J44" s="50">
        <f t="shared" si="5"/>
        <v>35.118197879858656</v>
      </c>
      <c r="K44" s="50">
        <f t="shared" si="5"/>
        <v>37.771224444444442</v>
      </c>
      <c r="L44" s="33"/>
      <c r="M44" s="33"/>
      <c r="N44" s="33"/>
      <c r="O44" s="46"/>
      <c r="P44" s="33"/>
      <c r="Q44" s="33"/>
    </row>
    <row r="45" spans="1:17" x14ac:dyDescent="0.2">
      <c r="G45" s="50"/>
      <c r="H45" s="50"/>
      <c r="I45" s="50"/>
      <c r="J45" s="50"/>
      <c r="K45" s="50"/>
      <c r="L45" s="33"/>
      <c r="M45" s="33"/>
      <c r="N45" s="33"/>
      <c r="O45" s="46"/>
      <c r="P45" s="33"/>
      <c r="Q45" s="33"/>
    </row>
    <row r="46" spans="1:17" s="95" customFormat="1" x14ac:dyDescent="0.2">
      <c r="A46" s="92" t="s">
        <v>30</v>
      </c>
      <c r="B46" s="92"/>
      <c r="C46" s="92"/>
      <c r="D46" s="92"/>
      <c r="E46" s="92"/>
      <c r="F46" s="92"/>
      <c r="G46" s="50">
        <f>(G14-[4]Taul1!F62)/-([4]Taul1!F62+G29)</f>
        <v>0.67388061187256398</v>
      </c>
      <c r="H46" s="50">
        <f>(H14-[4]Taul1!H62)/-([4]Taul1!H62+H29)</f>
        <v>1.3020891226476243</v>
      </c>
      <c r="I46" s="50">
        <f>(I14-[4]Taul1!L62)/-([4]Taul1!L62+I29)</f>
        <v>2.2210435646671201</v>
      </c>
      <c r="J46" s="50">
        <f>(J14-[4]Taul1!N62)/-([4]Taul1!N62+J29)</f>
        <v>1.5719408095305099</v>
      </c>
      <c r="K46" s="50">
        <f>(K14-[4]Taul1!P62)/-([4]Taul1!P62+K29)</f>
        <v>1.5958750466398575</v>
      </c>
      <c r="L46" s="94"/>
      <c r="M46" s="94"/>
      <c r="N46" s="94"/>
      <c r="O46" s="94"/>
      <c r="P46" s="94"/>
      <c r="Q46" s="94"/>
    </row>
    <row r="47" spans="1:17" s="95" customFormat="1" x14ac:dyDescent="0.2">
      <c r="A47" s="92"/>
      <c r="B47" s="92"/>
      <c r="C47" s="92"/>
      <c r="D47" s="92"/>
      <c r="E47" s="92"/>
      <c r="F47" s="92"/>
      <c r="G47" s="50"/>
      <c r="H47" s="50"/>
      <c r="I47" s="50"/>
      <c r="J47" s="50"/>
      <c r="K47" s="50"/>
      <c r="L47" s="94"/>
      <c r="M47" s="94"/>
      <c r="N47" s="94"/>
      <c r="O47" s="94"/>
      <c r="P47" s="94"/>
      <c r="Q47" s="94"/>
    </row>
    <row r="48" spans="1:17" s="95" customFormat="1" x14ac:dyDescent="0.2">
      <c r="A48" s="92" t="s">
        <v>31</v>
      </c>
      <c r="B48" s="92"/>
      <c r="C48" s="92"/>
      <c r="D48" s="92"/>
      <c r="E48" s="92"/>
      <c r="F48" s="92"/>
      <c r="G48" s="47">
        <f>365*G36/-([4]Taul1!F40-[4]Taul1!F38+[4]Taul1!F62+[4]Taul1!F63+G18+G25+G29)</f>
        <v>24.017691318532815</v>
      </c>
      <c r="H48" s="47">
        <f>365*H36/-([4]Taul1!H40-[4]Taul1!H38+[4]Taul1!H62+[4]Taul1!H63+H18+H25+H29)</f>
        <v>29.481522292345783</v>
      </c>
      <c r="I48" s="47">
        <f>365*I36/-([4]Taul1!L40-[4]Taul1!L38+[4]Taul1!L62+[4]Taul1!L63+I18+I25+I29)</f>
        <v>73.923396445189169</v>
      </c>
      <c r="J48" s="47">
        <f>365*J36/-([4]Taul1!N40-[4]Taul1!N38+[4]Taul1!N62+[4]Taul1!N63+J18+J25+J29)</f>
        <v>69.608334532943644</v>
      </c>
      <c r="K48" s="47">
        <f>365*K36/-([4]Taul1!P40-[4]Taul1!P38+[4]Taul1!P62+[4]Taul1!P63+K18+K25+K29)</f>
        <v>68.325632301628247</v>
      </c>
      <c r="L48" s="94"/>
      <c r="M48" s="94"/>
      <c r="N48" s="94"/>
      <c r="O48" s="94"/>
      <c r="P48" s="94"/>
      <c r="Q48" s="94"/>
    </row>
    <row r="49" spans="1:17" s="95" customFormat="1" x14ac:dyDescent="0.2">
      <c r="A49" s="92"/>
      <c r="B49" s="92"/>
      <c r="C49" s="92"/>
      <c r="D49" s="92"/>
      <c r="E49" s="92"/>
      <c r="F49" s="92"/>
      <c r="G49" s="47"/>
      <c r="H49" s="47"/>
      <c r="I49" s="47"/>
      <c r="J49" s="47"/>
      <c r="K49" s="47"/>
      <c r="L49" s="94"/>
      <c r="M49" s="94"/>
      <c r="N49" s="94"/>
      <c r="O49" s="94"/>
      <c r="P49" s="94"/>
      <c r="Q49" s="94"/>
    </row>
    <row r="51" spans="1:17" hidden="1" x14ac:dyDescent="0.2">
      <c r="C51" s="126" t="s">
        <v>33</v>
      </c>
      <c r="E51" s="126" t="s">
        <v>32</v>
      </c>
      <c r="G51" s="48" t="s">
        <v>47</v>
      </c>
      <c r="H51" s="49" t="s">
        <v>61</v>
      </c>
    </row>
    <row r="52" spans="1:17" hidden="1" x14ac:dyDescent="0.2">
      <c r="C52" s="48">
        <f>C53-C54-C55-C56-C57</f>
        <v>-384270.16000000003</v>
      </c>
      <c r="E52" s="48">
        <f>E53-E54-E55-E56-E57</f>
        <v>-1849344.6900000002</v>
      </c>
      <c r="G52" s="48">
        <v>-31182440.690000001</v>
      </c>
      <c r="H52" s="49">
        <v>-13262209.359999999</v>
      </c>
      <c r="J52" s="48">
        <v>2018</v>
      </c>
      <c r="K52" s="48">
        <f>G21</f>
        <v>-19600091.860000063</v>
      </c>
    </row>
    <row r="53" spans="1:17" hidden="1" x14ac:dyDescent="0.2">
      <c r="B53" s="25" t="s">
        <v>34</v>
      </c>
      <c r="C53" s="48">
        <v>-343421.37</v>
      </c>
      <c r="E53" s="48">
        <v>-2058645.87</v>
      </c>
      <c r="G53" s="48" t="s">
        <v>53</v>
      </c>
      <c r="J53" s="48">
        <v>2017</v>
      </c>
      <c r="K53" s="48">
        <f>H52</f>
        <v>-13262209.359999999</v>
      </c>
    </row>
    <row r="54" spans="1:17" hidden="1" x14ac:dyDescent="0.2">
      <c r="B54" s="25" t="s">
        <v>35</v>
      </c>
      <c r="C54" s="48">
        <v>-11022</v>
      </c>
      <c r="E54" s="48">
        <v>-206806.43</v>
      </c>
      <c r="J54" s="48">
        <v>2016</v>
      </c>
      <c r="K54" s="48">
        <f>G52</f>
        <v>-31182440.690000001</v>
      </c>
    </row>
    <row r="55" spans="1:17" hidden="1" x14ac:dyDescent="0.2">
      <c r="B55" s="25" t="s">
        <v>36</v>
      </c>
      <c r="C55" s="48">
        <v>101981.2</v>
      </c>
      <c r="E55" s="48">
        <v>-41108.11</v>
      </c>
      <c r="J55" s="48">
        <v>2015</v>
      </c>
      <c r="K55" s="48">
        <f>E70</f>
        <v>-46363031.93</v>
      </c>
    </row>
    <row r="56" spans="1:17" hidden="1" x14ac:dyDescent="0.2">
      <c r="B56" s="25" t="s">
        <v>37</v>
      </c>
      <c r="C56" s="48">
        <v>-154554.04</v>
      </c>
      <c r="E56" s="48">
        <v>-81650.38</v>
      </c>
      <c r="J56" s="48">
        <v>2014</v>
      </c>
      <c r="K56" s="48">
        <f>E67</f>
        <v>-65499193.140000001</v>
      </c>
    </row>
    <row r="57" spans="1:17" hidden="1" x14ac:dyDescent="0.2">
      <c r="B57" s="25" t="s">
        <v>38</v>
      </c>
      <c r="C57" s="48">
        <v>104443.63</v>
      </c>
      <c r="E57" s="48">
        <v>120263.74</v>
      </c>
      <c r="H57" s="49">
        <f>G21+H52+G52+E70+E67</f>
        <v>-175906966.98000008</v>
      </c>
    </row>
    <row r="58" spans="1:17" hidden="1" x14ac:dyDescent="0.2">
      <c r="H58" s="49">
        <f>H57/1000000</f>
        <v>-175.90696698000008</v>
      </c>
    </row>
    <row r="59" spans="1:17" hidden="1" x14ac:dyDescent="0.2">
      <c r="E59" s="48" t="s">
        <v>40</v>
      </c>
    </row>
    <row r="60" spans="1:17" hidden="1" x14ac:dyDescent="0.2">
      <c r="E60" s="48" t="e">
        <f>E61-E62-#REF!-#REF!-#REF!</f>
        <v>#REF!</v>
      </c>
    </row>
    <row r="61" spans="1:17" hidden="1" x14ac:dyDescent="0.2">
      <c r="B61" s="48">
        <v>207365368.63</v>
      </c>
      <c r="E61" s="48">
        <v>-29625600.109999999</v>
      </c>
    </row>
    <row r="62" spans="1:17" hidden="1" x14ac:dyDescent="0.2">
      <c r="B62" s="48">
        <f>11891060.04-2651360</f>
        <v>9239700.0399999991</v>
      </c>
      <c r="E62" s="48">
        <v>70436.59</v>
      </c>
    </row>
    <row r="63" spans="1:17" hidden="1" x14ac:dyDescent="0.2">
      <c r="B63" s="48">
        <f>SUM(B61:B62)</f>
        <v>216605068.66999999</v>
      </c>
      <c r="E63" s="48" t="s">
        <v>41</v>
      </c>
    </row>
    <row r="64" spans="1:17" hidden="1" x14ac:dyDescent="0.2">
      <c r="E64" s="48">
        <v>-39107014</v>
      </c>
    </row>
    <row r="65" spans="2:12" hidden="1" x14ac:dyDescent="0.2"/>
    <row r="66" spans="2:12" hidden="1" x14ac:dyDescent="0.2">
      <c r="E66" s="49" t="s">
        <v>43</v>
      </c>
    </row>
    <row r="67" spans="2:12" hidden="1" x14ac:dyDescent="0.2">
      <c r="E67" s="49">
        <v>-65499193.140000001</v>
      </c>
    </row>
    <row r="68" spans="2:12" hidden="1" x14ac:dyDescent="0.2"/>
    <row r="69" spans="2:12" hidden="1" x14ac:dyDescent="0.2">
      <c r="E69" s="48" t="s">
        <v>44</v>
      </c>
    </row>
    <row r="70" spans="2:12" hidden="1" x14ac:dyDescent="0.2">
      <c r="E70" s="48">
        <v>-46363031.93</v>
      </c>
    </row>
    <row r="71" spans="2:12" hidden="1" x14ac:dyDescent="0.2"/>
    <row r="72" spans="2:12" hidden="1" x14ac:dyDescent="0.2"/>
    <row r="73" spans="2:12" x14ac:dyDescent="0.2">
      <c r="H73" s="129"/>
    </row>
    <row r="74" spans="2:12" ht="15" x14ac:dyDescent="0.25">
      <c r="B74" s="30" t="s">
        <v>63</v>
      </c>
      <c r="G74" s="130"/>
    </row>
    <row r="75" spans="2:12" x14ac:dyDescent="0.2">
      <c r="G75" s="130"/>
    </row>
    <row r="76" spans="2:12" x14ac:dyDescent="0.2">
      <c r="B76" s="131" t="s">
        <v>80</v>
      </c>
    </row>
    <row r="78" spans="2:12" ht="15" x14ac:dyDescent="0.25">
      <c r="C78" s="30" t="s">
        <v>64</v>
      </c>
      <c r="G78" s="25"/>
      <c r="H78" s="48"/>
      <c r="J78" s="49"/>
      <c r="L78" s="4"/>
    </row>
    <row r="79" spans="2:12" ht="37.5" customHeight="1" x14ac:dyDescent="0.2">
      <c r="C79" s="136" t="s">
        <v>62</v>
      </c>
      <c r="D79" s="137"/>
      <c r="E79" s="137"/>
      <c r="F79" s="137"/>
      <c r="G79" s="137"/>
      <c r="H79" s="137"/>
      <c r="I79" s="137"/>
      <c r="J79" s="137"/>
      <c r="K79" s="137"/>
      <c r="L79" s="98"/>
    </row>
    <row r="80" spans="2:12" x14ac:dyDescent="0.2">
      <c r="G80" s="25"/>
      <c r="H80" s="48"/>
      <c r="J80" s="49"/>
      <c r="L80" s="4"/>
    </row>
    <row r="81" spans="2:12" ht="15" x14ac:dyDescent="0.25">
      <c r="C81" s="30" t="s">
        <v>17</v>
      </c>
      <c r="G81" s="25"/>
      <c r="H81" s="48"/>
      <c r="J81" s="49"/>
      <c r="L81" s="4"/>
    </row>
    <row r="82" spans="2:12" x14ac:dyDescent="0.2">
      <c r="C82" s="132" t="s">
        <v>79</v>
      </c>
      <c r="G82" s="25"/>
      <c r="H82" s="48"/>
      <c r="J82" s="49"/>
      <c r="L82" s="4"/>
    </row>
    <row r="83" spans="2:12" x14ac:dyDescent="0.2">
      <c r="G83" s="25"/>
      <c r="H83" s="48"/>
      <c r="J83" s="49"/>
      <c r="L83" s="4"/>
    </row>
    <row r="84" spans="2:12" ht="52.5" customHeight="1" x14ac:dyDescent="0.2">
      <c r="C84" s="136" t="s">
        <v>65</v>
      </c>
      <c r="D84" s="137"/>
      <c r="E84" s="137"/>
      <c r="F84" s="137"/>
      <c r="G84" s="137"/>
      <c r="H84" s="137"/>
      <c r="I84" s="137"/>
      <c r="J84" s="137"/>
      <c r="K84" s="137"/>
      <c r="L84" s="4"/>
    </row>
    <row r="85" spans="2:12" x14ac:dyDescent="0.2">
      <c r="C85" s="25" t="s">
        <v>66</v>
      </c>
      <c r="G85" s="25"/>
      <c r="H85" s="48"/>
      <c r="J85" s="49"/>
      <c r="L85" s="4"/>
    </row>
    <row r="86" spans="2:12" x14ac:dyDescent="0.2">
      <c r="G86" s="25"/>
      <c r="H86" s="48"/>
      <c r="J86" s="49"/>
      <c r="L86" s="4"/>
    </row>
    <row r="88" spans="2:12" x14ac:dyDescent="0.2">
      <c r="B88" s="131" t="s">
        <v>81</v>
      </c>
    </row>
    <row r="90" spans="2:12" ht="15" x14ac:dyDescent="0.25">
      <c r="C90" s="30" t="s">
        <v>16</v>
      </c>
    </row>
    <row r="91" spans="2:12" x14ac:dyDescent="0.2">
      <c r="C91" s="132" t="s">
        <v>87</v>
      </c>
    </row>
    <row r="92" spans="2:12" x14ac:dyDescent="0.2">
      <c r="C92" s="132"/>
    </row>
    <row r="93" spans="2:12" ht="51" customHeight="1" x14ac:dyDescent="0.2">
      <c r="C93" s="136" t="s">
        <v>86</v>
      </c>
      <c r="D93" s="137"/>
      <c r="E93" s="137"/>
      <c r="F93" s="137"/>
      <c r="G93" s="137"/>
      <c r="H93" s="137"/>
      <c r="I93" s="137"/>
      <c r="J93" s="137"/>
      <c r="K93" s="137"/>
    </row>
    <row r="94" spans="2:12" x14ac:dyDescent="0.2">
      <c r="C94" s="133"/>
      <c r="D94" s="134"/>
      <c r="E94" s="134"/>
      <c r="F94" s="134"/>
      <c r="G94" s="134"/>
      <c r="H94" s="134"/>
      <c r="I94" s="134"/>
      <c r="J94" s="134"/>
      <c r="K94" s="134"/>
    </row>
    <row r="96" spans="2:12" ht="15" x14ac:dyDescent="0.25">
      <c r="C96" s="30" t="s">
        <v>30</v>
      </c>
    </row>
    <row r="97" spans="2:12" x14ac:dyDescent="0.2">
      <c r="C97" s="132" t="s">
        <v>83</v>
      </c>
      <c r="G97" s="25"/>
      <c r="H97" s="48"/>
      <c r="J97" s="49"/>
      <c r="L97" s="4"/>
    </row>
    <row r="98" spans="2:12" x14ac:dyDescent="0.2">
      <c r="G98" s="25"/>
      <c r="H98" s="48"/>
      <c r="J98" s="49"/>
      <c r="L98" s="4"/>
    </row>
    <row r="99" spans="2:12" ht="41.25" customHeight="1" x14ac:dyDescent="0.2">
      <c r="C99" s="136" t="s">
        <v>67</v>
      </c>
      <c r="D99" s="137"/>
      <c r="E99" s="137"/>
      <c r="F99" s="137"/>
      <c r="G99" s="137"/>
      <c r="H99" s="137"/>
      <c r="I99" s="137"/>
      <c r="J99" s="137"/>
      <c r="K99" s="137"/>
    </row>
    <row r="100" spans="2:12" ht="30.75" customHeight="1" x14ac:dyDescent="0.2">
      <c r="C100" s="136" t="s">
        <v>68</v>
      </c>
      <c r="D100" s="137"/>
      <c r="E100" s="137"/>
      <c r="F100" s="137"/>
      <c r="G100" s="137"/>
      <c r="H100" s="137"/>
      <c r="I100" s="137"/>
      <c r="J100" s="137"/>
      <c r="K100" s="137"/>
    </row>
    <row r="101" spans="2:12" ht="34.5" customHeight="1" x14ac:dyDescent="0.2">
      <c r="C101" s="136" t="s">
        <v>69</v>
      </c>
      <c r="D101" s="137"/>
      <c r="E101" s="137"/>
      <c r="F101" s="137"/>
      <c r="G101" s="137"/>
      <c r="H101" s="137"/>
      <c r="I101" s="137"/>
      <c r="J101" s="137"/>
      <c r="K101" s="137"/>
    </row>
    <row r="104" spans="2:12" x14ac:dyDescent="0.2">
      <c r="B104" s="131" t="s">
        <v>82</v>
      </c>
    </row>
    <row r="106" spans="2:12" ht="15" x14ac:dyDescent="0.25">
      <c r="C106" s="30" t="s">
        <v>84</v>
      </c>
    </row>
    <row r="107" spans="2:12" x14ac:dyDescent="0.2">
      <c r="C107" s="132" t="s">
        <v>85</v>
      </c>
      <c r="G107" s="25"/>
      <c r="H107" s="48"/>
      <c r="J107" s="49"/>
      <c r="L107" s="4"/>
    </row>
    <row r="109" spans="2:12" ht="42.75" customHeight="1" x14ac:dyDescent="0.2">
      <c r="C109" s="136" t="s">
        <v>70</v>
      </c>
      <c r="D109" s="137"/>
      <c r="E109" s="137"/>
      <c r="F109" s="137"/>
      <c r="G109" s="137"/>
      <c r="H109" s="137"/>
      <c r="I109" s="137"/>
      <c r="J109" s="137"/>
      <c r="K109" s="137"/>
    </row>
    <row r="111" spans="2:12" x14ac:dyDescent="0.2">
      <c r="C111" s="25" t="s">
        <v>71</v>
      </c>
    </row>
    <row r="112" spans="2:12" x14ac:dyDescent="0.2">
      <c r="C112" s="25" t="s">
        <v>72</v>
      </c>
    </row>
    <row r="113" spans="3:11" x14ac:dyDescent="0.2">
      <c r="C113" s="25" t="s">
        <v>73</v>
      </c>
    </row>
    <row r="114" spans="3:11" x14ac:dyDescent="0.2">
      <c r="C114" s="25" t="s">
        <v>74</v>
      </c>
    </row>
    <row r="115" spans="3:11" x14ac:dyDescent="0.2">
      <c r="C115" s="25" t="s">
        <v>75</v>
      </c>
    </row>
    <row r="116" spans="3:11" x14ac:dyDescent="0.2">
      <c r="C116" s="25" t="s">
        <v>23</v>
      </c>
    </row>
    <row r="117" spans="3:11" x14ac:dyDescent="0.2">
      <c r="C117" s="25" t="s">
        <v>76</v>
      </c>
    </row>
    <row r="118" spans="3:11" x14ac:dyDescent="0.2">
      <c r="C118" s="25" t="s">
        <v>77</v>
      </c>
    </row>
    <row r="119" spans="3:11" ht="47.25" customHeight="1" x14ac:dyDescent="0.2">
      <c r="C119" s="136" t="s">
        <v>78</v>
      </c>
      <c r="D119" s="137"/>
      <c r="E119" s="137"/>
      <c r="F119" s="137"/>
      <c r="G119" s="137"/>
      <c r="H119" s="137"/>
      <c r="I119" s="137"/>
      <c r="J119" s="137"/>
      <c r="K119" s="137"/>
    </row>
  </sheetData>
  <mergeCells count="8">
    <mergeCell ref="C119:K119"/>
    <mergeCell ref="C93:K93"/>
    <mergeCell ref="C84:K84"/>
    <mergeCell ref="C79:K79"/>
    <mergeCell ref="C99:K99"/>
    <mergeCell ref="C100:K100"/>
    <mergeCell ref="C101:K101"/>
    <mergeCell ref="C109:K109"/>
  </mergeCells>
  <phoneticPr fontId="6" type="noConversion"/>
  <printOptions horizontalCentered="1" verticalCentered="1"/>
  <pageMargins left="0.39370078740157483" right="0.23622047244094491" top="0.31496062992125984" bottom="3.937007874015748E-2" header="0.51181102362204722" footer="0.23622047244094491"/>
  <pageSetup paperSize="9" scale="8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rintOptions gridLines="1" gridLinesSet="0"/>
  <pageMargins left="0.75" right="0.75" top="1" bottom="1" header="0.4921259845" footer="0.4921259845"/>
  <headerFooter alignWithMargins="0">
    <oddHeader>&amp;A</oddHeader>
    <oddFooter>Sivu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rintOptions gridLines="1" gridLinesSet="0"/>
  <pageMargins left="0.75" right="0.75" top="1" bottom="1" header="0.4921259845" footer="0.4921259845"/>
  <headerFooter alignWithMargins="0">
    <oddHeader>&amp;A</oddHeader>
    <oddFooter>Sivu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rintOptions gridLines="1" gridLinesSet="0"/>
  <pageMargins left="0.75" right="0.75" top="1" bottom="1" header="0.4921259845" footer="0.4921259845"/>
  <headerFooter alignWithMargins="0">
    <oddHeader>&amp;A</oddHeader>
    <oddFooter>Sivu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rintOptions gridLines="1" gridLinesSet="0"/>
  <pageMargins left="0.75" right="0.75" top="1" bottom="1" header="0.4921259845" footer="0.4921259845"/>
  <headerFooter alignWithMargins="0">
    <oddHeader>&amp;A</oddHeader>
    <oddFooter>Sivu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rintOptions gridLines="1" gridLinesSet="0"/>
  <pageMargins left="0.75" right="0.75" top="1" bottom="1" header="0.4921259845" footer="0.4921259845"/>
  <headerFooter alignWithMargins="0">
    <oddHeader>&amp;A</oddHeader>
    <oddFooter>Sivu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rintOptions gridLines="1" gridLinesSet="0"/>
  <pageMargins left="0.75" right="0.75" top="1" bottom="1" header="0.4921259845" footer="0.4921259845"/>
  <headerFooter alignWithMargins="0">
    <oddHeader>&amp;A</oddHeader>
    <oddFooter>Sivu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rintOptions gridLines="1" gridLinesSet="0"/>
  <pageMargins left="0.75" right="0.75" top="1" bottom="1" header="0.4921259845" footer="0.4921259845"/>
  <headerFooter alignWithMargins="0">
    <oddHeader>&amp;A</oddHeader>
    <oddFooter>Sivu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3"/>
  <sheetViews>
    <sheetView tabSelected="1" workbookViewId="0">
      <selection activeCell="K2" sqref="K2"/>
    </sheetView>
  </sheetViews>
  <sheetFormatPr defaultColWidth="9.140625" defaultRowHeight="14.25" x14ac:dyDescent="0.2"/>
  <cols>
    <col min="1" max="1" width="2.85546875" style="3" customWidth="1"/>
    <col min="2" max="4" width="9.140625" style="3"/>
    <col min="5" max="5" width="18.5703125" style="3" customWidth="1"/>
    <col min="6" max="6" width="7.7109375" style="3" customWidth="1"/>
    <col min="7" max="7" width="13.42578125" style="4" customWidth="1"/>
    <col min="8" max="8" width="0.85546875" style="4" customWidth="1"/>
    <col min="9" max="9" width="13.42578125" style="37" customWidth="1"/>
    <col min="10" max="10" width="0.85546875" style="37" customWidth="1"/>
    <col min="11" max="11" width="13.42578125" style="37" customWidth="1"/>
    <col min="12" max="12" width="0.85546875" style="37" customWidth="1"/>
    <col min="13" max="13" width="13.42578125" style="4" customWidth="1"/>
    <col min="14" max="14" width="0.85546875" style="4" customWidth="1"/>
    <col min="15" max="15" width="13.42578125" style="4" customWidth="1"/>
    <col min="17" max="17" width="12.28515625" hidden="1" customWidth="1"/>
    <col min="18" max="18" width="11.140625" bestFit="1" customWidth="1"/>
    <col min="19" max="19" width="15.28515625" customWidth="1"/>
    <col min="20" max="20" width="11.5703125" bestFit="1" customWidth="1"/>
    <col min="21" max="21" width="8.85546875" customWidth="1"/>
    <col min="22" max="16384" width="9.140625" style="3"/>
  </cols>
  <sheetData>
    <row r="1" spans="1:21" ht="15" x14ac:dyDescent="0.25">
      <c r="A1" s="2" t="s">
        <v>0</v>
      </c>
    </row>
    <row r="2" spans="1:21" ht="15" x14ac:dyDescent="0.25">
      <c r="A2" s="2" t="s">
        <v>1</v>
      </c>
      <c r="M2" s="59"/>
      <c r="N2" s="59"/>
      <c r="R2" s="44"/>
    </row>
    <row r="3" spans="1:21" ht="15" x14ac:dyDescent="0.25">
      <c r="A3" s="2"/>
      <c r="R3" s="37"/>
    </row>
    <row r="6" spans="1:21" x14ac:dyDescent="0.2">
      <c r="A6" s="102"/>
      <c r="B6" s="102"/>
      <c r="C6" s="102"/>
      <c r="D6" s="102"/>
      <c r="E6" s="102"/>
      <c r="F6" s="102"/>
      <c r="G6" s="103"/>
      <c r="H6" s="103"/>
      <c r="I6" s="104"/>
      <c r="J6" s="104"/>
      <c r="K6" s="104"/>
      <c r="L6" s="104"/>
      <c r="M6" s="103"/>
      <c r="N6" s="103"/>
      <c r="O6" s="103"/>
    </row>
    <row r="7" spans="1:21" ht="14.25" customHeight="1" x14ac:dyDescent="0.25">
      <c r="A7" s="105" t="s">
        <v>88</v>
      </c>
      <c r="B7" s="106"/>
      <c r="C7" s="106"/>
      <c r="D7" s="106"/>
      <c r="E7" s="106"/>
      <c r="F7" s="106"/>
      <c r="G7" s="107"/>
      <c r="H7" s="107"/>
      <c r="I7" s="108"/>
      <c r="J7" s="108"/>
      <c r="K7" s="108"/>
      <c r="L7" s="108"/>
      <c r="M7" s="107"/>
      <c r="N7" s="107"/>
      <c r="O7" s="107"/>
    </row>
    <row r="8" spans="1:21" ht="14.25" customHeight="1" x14ac:dyDescent="0.2">
      <c r="A8" s="106"/>
      <c r="B8" s="106"/>
      <c r="C8" s="106"/>
      <c r="D8" s="106"/>
      <c r="E8" s="106"/>
      <c r="F8" s="106"/>
      <c r="G8" s="107"/>
      <c r="H8" s="107"/>
      <c r="I8" s="108"/>
      <c r="J8" s="108"/>
      <c r="K8" s="108"/>
      <c r="L8" s="108"/>
      <c r="M8" s="107"/>
      <c r="N8" s="107"/>
      <c r="O8" s="107"/>
    </row>
    <row r="9" spans="1:21" ht="14.25" customHeight="1" x14ac:dyDescent="0.25">
      <c r="A9" s="109" t="s">
        <v>89</v>
      </c>
      <c r="B9" s="106"/>
      <c r="C9" s="106"/>
      <c r="D9" s="106"/>
      <c r="E9" s="106"/>
      <c r="F9" s="106"/>
      <c r="G9" s="107"/>
      <c r="H9" s="107"/>
      <c r="I9" s="108"/>
      <c r="J9" s="108"/>
      <c r="K9" s="108"/>
      <c r="L9" s="108"/>
      <c r="M9" s="107"/>
      <c r="N9" s="107"/>
      <c r="O9" s="107"/>
    </row>
    <row r="10" spans="1:21" ht="14.25" customHeight="1" x14ac:dyDescent="0.25">
      <c r="A10" s="109"/>
      <c r="B10" s="106"/>
      <c r="C10" s="106"/>
      <c r="D10" s="106"/>
      <c r="E10" s="106"/>
      <c r="F10" s="106"/>
      <c r="G10" s="107"/>
      <c r="H10" s="107"/>
      <c r="I10" s="108"/>
      <c r="J10" s="108"/>
      <c r="K10" s="108"/>
      <c r="L10" s="108"/>
      <c r="M10" s="107"/>
      <c r="N10" s="107"/>
      <c r="O10" s="107"/>
    </row>
    <row r="11" spans="1:21" ht="14.25" customHeight="1" x14ac:dyDescent="0.25">
      <c r="A11" s="109"/>
      <c r="B11" s="106"/>
      <c r="C11" s="106"/>
      <c r="D11" s="106"/>
      <c r="E11" s="106"/>
      <c r="F11" s="106"/>
      <c r="G11" s="107"/>
      <c r="H11" s="107"/>
      <c r="I11" s="108"/>
      <c r="J11" s="108"/>
      <c r="K11" s="108"/>
      <c r="L11" s="108"/>
      <c r="M11" s="107"/>
      <c r="N11" s="107"/>
      <c r="O11" s="107"/>
    </row>
    <row r="12" spans="1:21" ht="15" x14ac:dyDescent="0.25">
      <c r="A12" s="110"/>
      <c r="B12" s="110"/>
      <c r="C12" s="110"/>
      <c r="D12" s="110"/>
      <c r="E12" s="110"/>
      <c r="F12" s="110"/>
      <c r="G12" s="111" t="s">
        <v>58</v>
      </c>
      <c r="H12" s="111"/>
      <c r="I12" s="112" t="s">
        <v>55</v>
      </c>
      <c r="J12" s="112"/>
      <c r="K12" s="112" t="s">
        <v>55</v>
      </c>
      <c r="L12" s="112"/>
      <c r="M12" s="111" t="s">
        <v>50</v>
      </c>
      <c r="N12" s="111"/>
      <c r="O12" s="111" t="s">
        <v>60</v>
      </c>
      <c r="P12" s="33"/>
      <c r="Q12" s="33"/>
      <c r="R12" s="33"/>
    </row>
    <row r="13" spans="1:21" ht="15" x14ac:dyDescent="0.25">
      <c r="A13" s="110"/>
      <c r="B13" s="110"/>
      <c r="C13" s="110"/>
      <c r="D13" s="110"/>
      <c r="E13" s="110"/>
      <c r="F13" s="110"/>
      <c r="G13" s="111" t="s">
        <v>20</v>
      </c>
      <c r="H13" s="111"/>
      <c r="I13" s="111" t="s">
        <v>49</v>
      </c>
      <c r="J13" s="111"/>
      <c r="K13" s="111" t="s">
        <v>59</v>
      </c>
      <c r="L13" s="111"/>
      <c r="M13" s="111" t="s">
        <v>20</v>
      </c>
      <c r="N13" s="111"/>
      <c r="O13" s="111" t="s">
        <v>20</v>
      </c>
      <c r="P13" s="33"/>
      <c r="Q13" s="33"/>
      <c r="R13" s="33"/>
    </row>
    <row r="14" spans="1:21" ht="15" x14ac:dyDescent="0.25">
      <c r="A14" s="110"/>
      <c r="B14" s="110"/>
      <c r="C14" s="110"/>
      <c r="D14" s="110"/>
      <c r="E14" s="110"/>
      <c r="F14" s="110"/>
      <c r="G14" s="111"/>
      <c r="H14" s="111"/>
      <c r="I14" s="111" t="s">
        <v>20</v>
      </c>
      <c r="J14" s="111"/>
      <c r="K14" s="111" t="s">
        <v>20</v>
      </c>
      <c r="L14" s="111"/>
      <c r="M14" s="111"/>
      <c r="N14" s="111"/>
      <c r="O14" s="111"/>
      <c r="P14" s="33"/>
      <c r="Q14" s="33"/>
      <c r="R14" s="33"/>
    </row>
    <row r="15" spans="1:21" x14ac:dyDescent="0.2">
      <c r="A15" s="113" t="s">
        <v>21</v>
      </c>
      <c r="B15" s="110"/>
      <c r="C15" s="110"/>
      <c r="D15" s="110"/>
      <c r="E15" s="110"/>
      <c r="F15" s="110"/>
      <c r="G15" s="121"/>
      <c r="H15" s="118"/>
      <c r="I15" s="121"/>
      <c r="J15" s="118"/>
      <c r="K15" s="121"/>
      <c r="L15" s="118"/>
      <c r="M15" s="121"/>
      <c r="N15" s="118"/>
      <c r="O15" s="121"/>
      <c r="P15" s="33"/>
      <c r="Q15" s="33"/>
      <c r="R15" s="33"/>
      <c r="S15" s="33"/>
      <c r="T15" s="33"/>
      <c r="U15" s="33"/>
    </row>
    <row r="16" spans="1:21" ht="14.25" customHeight="1" x14ac:dyDescent="0.2">
      <c r="A16" s="110"/>
      <c r="B16" s="110" t="s">
        <v>2</v>
      </c>
      <c r="C16" s="110"/>
      <c r="D16" s="110"/>
      <c r="E16" s="110"/>
      <c r="F16" s="114" t="s">
        <v>3</v>
      </c>
      <c r="G16" s="121">
        <f>'2020'!G14/1000</f>
        <v>6036.7644999999357</v>
      </c>
      <c r="H16" s="118"/>
      <c r="I16" s="121">
        <f>'2020'!H14/1000</f>
        <v>18766.755000000001</v>
      </c>
      <c r="J16" s="118"/>
      <c r="K16" s="121">
        <f>'2020'!I14/1000</f>
        <v>38968.574000000001</v>
      </c>
      <c r="L16" s="118"/>
      <c r="M16" s="121">
        <f>'2020'!J14/1000</f>
        <v>29815.35</v>
      </c>
      <c r="N16" s="118"/>
      <c r="O16" s="121">
        <f>'2020'!K14/1000</f>
        <v>33994.101999999999</v>
      </c>
      <c r="P16" s="33"/>
      <c r="Q16" s="46"/>
      <c r="R16" s="33"/>
      <c r="S16" s="33"/>
      <c r="T16" s="33"/>
      <c r="U16" s="33"/>
    </row>
    <row r="17" spans="1:21" ht="15" x14ac:dyDescent="0.2">
      <c r="A17" s="110"/>
      <c r="B17" s="110" t="s">
        <v>4</v>
      </c>
      <c r="C17" s="110"/>
      <c r="D17" s="110"/>
      <c r="E17" s="110"/>
      <c r="F17" s="114" t="s">
        <v>3</v>
      </c>
      <c r="G17" s="121">
        <f>'2020'!G15/1000</f>
        <v>776.7</v>
      </c>
      <c r="H17" s="118"/>
      <c r="I17" s="121">
        <f>'2020'!H15/1000</f>
        <v>5928.0889999999999</v>
      </c>
      <c r="J17" s="118"/>
      <c r="K17" s="121"/>
      <c r="L17" s="118"/>
      <c r="M17" s="121"/>
      <c r="N17" s="118"/>
      <c r="O17" s="121"/>
      <c r="P17" s="33"/>
      <c r="Q17" s="33"/>
      <c r="R17" s="46"/>
      <c r="S17" s="101"/>
      <c r="T17" s="101"/>
      <c r="U17" s="101"/>
    </row>
    <row r="18" spans="1:21" x14ac:dyDescent="0.2">
      <c r="A18" s="110"/>
      <c r="B18" s="110" t="s">
        <v>9</v>
      </c>
      <c r="C18" s="110"/>
      <c r="D18" s="110"/>
      <c r="E18" s="110"/>
      <c r="F18" s="114" t="s">
        <v>3</v>
      </c>
      <c r="G18" s="121">
        <f>'2020'!G16/1000</f>
        <v>2587.498</v>
      </c>
      <c r="H18" s="118"/>
      <c r="I18" s="121"/>
      <c r="J18" s="118"/>
      <c r="K18" s="121"/>
      <c r="L18" s="118"/>
      <c r="M18" s="121"/>
      <c r="N18" s="118"/>
      <c r="O18" s="121"/>
      <c r="P18" s="33"/>
      <c r="Q18" s="33"/>
      <c r="R18" s="33"/>
    </row>
    <row r="19" spans="1:21" x14ac:dyDescent="0.2">
      <c r="A19" s="113" t="s">
        <v>22</v>
      </c>
      <c r="B19" s="110"/>
      <c r="C19" s="110"/>
      <c r="D19" s="110"/>
      <c r="E19" s="110"/>
      <c r="F19" s="115"/>
      <c r="G19" s="121"/>
      <c r="H19" s="118"/>
      <c r="I19" s="121"/>
      <c r="J19" s="118"/>
      <c r="K19" s="121"/>
      <c r="L19" s="118"/>
      <c r="M19" s="121"/>
      <c r="N19" s="118"/>
      <c r="O19" s="121"/>
      <c r="P19" s="33"/>
      <c r="Q19" s="33"/>
      <c r="R19" s="33"/>
    </row>
    <row r="20" spans="1:21" x14ac:dyDescent="0.2">
      <c r="A20" s="110"/>
      <c r="B20" s="110" t="s">
        <v>23</v>
      </c>
      <c r="C20" s="110"/>
      <c r="D20" s="110"/>
      <c r="E20" s="110"/>
      <c r="F20" s="115" t="s">
        <v>5</v>
      </c>
      <c r="G20" s="121">
        <f>'2020'!G18/1000</f>
        <v>-31422.676379999997</v>
      </c>
      <c r="H20" s="118"/>
      <c r="I20" s="121">
        <f>'2020'!H18/1000</f>
        <v>-51835.974999999999</v>
      </c>
      <c r="J20" s="118"/>
      <c r="K20" s="121">
        <f>'2020'!I18/1000</f>
        <v>-56430</v>
      </c>
      <c r="L20" s="118"/>
      <c r="M20" s="121">
        <f>'2020'!J18/1000</f>
        <v>-84900</v>
      </c>
      <c r="N20" s="118"/>
      <c r="O20" s="121">
        <f>'2020'!K18/1000</f>
        <v>-90000</v>
      </c>
      <c r="P20" s="91"/>
      <c r="Q20" s="46"/>
      <c r="R20" s="33"/>
    </row>
    <row r="21" spans="1:21" x14ac:dyDescent="0.2">
      <c r="A21" s="110"/>
      <c r="B21" s="110" t="s">
        <v>6</v>
      </c>
      <c r="C21" s="110"/>
      <c r="D21" s="110"/>
      <c r="E21" s="110"/>
      <c r="F21" s="115" t="s">
        <v>7</v>
      </c>
      <c r="G21" s="121">
        <f>'2020'!G19/1000</f>
        <v>131.62202000000002</v>
      </c>
      <c r="H21" s="118"/>
      <c r="I21" s="121">
        <f>'2020'!H19/1000</f>
        <v>140</v>
      </c>
      <c r="J21" s="118"/>
      <c r="K21" s="121"/>
      <c r="L21" s="118"/>
      <c r="M21" s="121"/>
      <c r="N21" s="118"/>
      <c r="O21" s="121"/>
      <c r="P21" s="33"/>
      <c r="Q21" s="33"/>
      <c r="R21" s="33"/>
    </row>
    <row r="22" spans="1:21" x14ac:dyDescent="0.2">
      <c r="A22" s="110"/>
      <c r="B22" s="110" t="s">
        <v>24</v>
      </c>
      <c r="C22" s="110"/>
      <c r="D22" s="110"/>
      <c r="E22" s="110"/>
      <c r="F22" s="115" t="s">
        <v>7</v>
      </c>
      <c r="G22" s="121">
        <f>'2020'!G20/1000</f>
        <v>2290</v>
      </c>
      <c r="H22" s="118"/>
      <c r="I22" s="121"/>
      <c r="J22" s="118"/>
      <c r="K22" s="121"/>
      <c r="L22" s="118"/>
      <c r="M22" s="121"/>
      <c r="N22" s="118"/>
      <c r="O22" s="121"/>
      <c r="P22" s="33"/>
      <c r="Q22" s="33"/>
      <c r="R22" s="33"/>
    </row>
    <row r="23" spans="1:21" s="2" customFormat="1" ht="15" x14ac:dyDescent="0.25">
      <c r="A23" s="116" t="s">
        <v>25</v>
      </c>
      <c r="B23" s="116"/>
      <c r="C23" s="116"/>
      <c r="D23" s="116"/>
      <c r="E23" s="116"/>
      <c r="F23" s="117" t="s">
        <v>3</v>
      </c>
      <c r="G23" s="122">
        <f>SUM(G16:G22)</f>
        <v>-19600.091860000062</v>
      </c>
      <c r="H23" s="119"/>
      <c r="I23" s="122">
        <f t="shared" ref="I23:O23" si="0">SUM(I16:I22)</f>
        <v>-27001.130999999998</v>
      </c>
      <c r="J23" s="119"/>
      <c r="K23" s="122">
        <f t="shared" si="0"/>
        <v>-17461.425999999999</v>
      </c>
      <c r="L23" s="119"/>
      <c r="M23" s="122">
        <f t="shared" si="0"/>
        <v>-55084.65</v>
      </c>
      <c r="N23" s="119"/>
      <c r="O23" s="122">
        <f t="shared" si="0"/>
        <v>-56005.898000000001</v>
      </c>
      <c r="P23" s="33"/>
      <c r="Q23" s="34"/>
      <c r="R23" s="56"/>
      <c r="S23"/>
      <c r="T23"/>
      <c r="U23"/>
    </row>
    <row r="24" spans="1:21" x14ac:dyDescent="0.2">
      <c r="A24" s="110"/>
      <c r="B24" s="110"/>
      <c r="C24" s="110"/>
      <c r="D24" s="110"/>
      <c r="E24" s="110"/>
      <c r="F24" s="114"/>
      <c r="G24" s="121"/>
      <c r="H24" s="118"/>
      <c r="I24" s="121"/>
      <c r="J24" s="118"/>
      <c r="K24" s="121"/>
      <c r="L24" s="118"/>
      <c r="M24" s="121"/>
      <c r="N24" s="118"/>
      <c r="O24" s="121"/>
      <c r="P24" s="33"/>
      <c r="Q24" s="33"/>
      <c r="R24" s="57"/>
    </row>
    <row r="25" spans="1:21" ht="15" x14ac:dyDescent="0.25">
      <c r="A25" s="116" t="s">
        <v>26</v>
      </c>
      <c r="B25" s="110"/>
      <c r="C25" s="110"/>
      <c r="D25" s="110"/>
      <c r="E25" s="110"/>
      <c r="F25" s="114"/>
      <c r="G25" s="121"/>
      <c r="H25" s="118"/>
      <c r="I25" s="121"/>
      <c r="J25" s="118"/>
      <c r="K25" s="121"/>
      <c r="L25" s="118"/>
      <c r="M25" s="121"/>
      <c r="N25" s="118"/>
      <c r="O25" s="121"/>
      <c r="P25" s="33"/>
      <c r="Q25" s="33"/>
      <c r="R25" s="57"/>
    </row>
    <row r="26" spans="1:21" x14ac:dyDescent="0.2">
      <c r="A26" s="113" t="s">
        <v>10</v>
      </c>
      <c r="B26" s="110"/>
      <c r="C26" s="110"/>
      <c r="D26" s="110"/>
      <c r="E26" s="110"/>
      <c r="F26" s="115"/>
      <c r="G26" s="121"/>
      <c r="H26" s="118"/>
      <c r="I26" s="121"/>
      <c r="J26" s="118"/>
      <c r="K26" s="121"/>
      <c r="L26" s="118"/>
      <c r="M26" s="121"/>
      <c r="N26" s="118"/>
      <c r="O26" s="121"/>
      <c r="R26" s="32"/>
    </row>
    <row r="27" spans="1:21" x14ac:dyDescent="0.2">
      <c r="A27" s="110"/>
      <c r="B27" s="110" t="s">
        <v>11</v>
      </c>
      <c r="C27" s="110"/>
      <c r="D27" s="110"/>
      <c r="E27" s="110"/>
      <c r="F27" s="114" t="s">
        <v>5</v>
      </c>
      <c r="G27" s="121"/>
      <c r="H27" s="118"/>
      <c r="I27" s="121"/>
      <c r="J27" s="118"/>
      <c r="K27" s="121"/>
      <c r="L27" s="118"/>
      <c r="M27" s="121"/>
      <c r="N27" s="118"/>
      <c r="O27" s="121"/>
      <c r="S27" s="1"/>
    </row>
    <row r="28" spans="1:21" x14ac:dyDescent="0.2">
      <c r="A28" s="110"/>
      <c r="B28" s="110" t="s">
        <v>42</v>
      </c>
      <c r="C28" s="110"/>
      <c r="D28" s="110"/>
      <c r="E28" s="110"/>
      <c r="F28" s="114" t="s">
        <v>7</v>
      </c>
      <c r="G28" s="121">
        <f>'2020'!G26/1000</f>
        <v>500</v>
      </c>
      <c r="H28" s="118"/>
      <c r="I28" s="121">
        <f>'2020'!H26/1000</f>
        <v>500</v>
      </c>
      <c r="J28" s="118"/>
      <c r="K28" s="121">
        <f>'2020'!I26/1000</f>
        <v>500</v>
      </c>
      <c r="L28" s="118"/>
      <c r="M28" s="121">
        <f>'2020'!J26/1000</f>
        <v>500</v>
      </c>
      <c r="N28" s="118"/>
      <c r="O28" s="121">
        <f>'2020'!K26/1000</f>
        <v>500</v>
      </c>
    </row>
    <row r="29" spans="1:21" x14ac:dyDescent="0.2">
      <c r="A29" s="113" t="s">
        <v>12</v>
      </c>
      <c r="B29" s="110"/>
      <c r="C29" s="110"/>
      <c r="D29" s="110"/>
      <c r="E29" s="110"/>
      <c r="F29" s="114"/>
      <c r="G29" s="121"/>
      <c r="H29" s="118"/>
      <c r="I29" s="121"/>
      <c r="J29" s="118"/>
      <c r="K29" s="121"/>
      <c r="L29" s="118"/>
      <c r="M29" s="121"/>
      <c r="N29" s="118"/>
      <c r="O29" s="121"/>
    </row>
    <row r="30" spans="1:21" x14ac:dyDescent="0.2">
      <c r="A30" s="113"/>
      <c r="B30" s="110" t="s">
        <v>8</v>
      </c>
      <c r="C30" s="110"/>
      <c r="D30" s="110"/>
      <c r="E30" s="110"/>
      <c r="F30" s="114" t="s">
        <v>7</v>
      </c>
      <c r="G30" s="121">
        <f>'2020'!G28/1000</f>
        <v>46000</v>
      </c>
      <c r="H30" s="118"/>
      <c r="I30" s="121">
        <f>'2020'!H28/1000</f>
        <v>42000</v>
      </c>
      <c r="J30" s="118"/>
      <c r="K30" s="121">
        <f>'2020'!I28/1000</f>
        <v>80000</v>
      </c>
      <c r="L30" s="118"/>
      <c r="M30" s="121">
        <f>'2020'!J28/1000</f>
        <v>72500</v>
      </c>
      <c r="N30" s="118"/>
      <c r="O30" s="121">
        <f>'2020'!K28/1000</f>
        <v>75500</v>
      </c>
      <c r="Q30" s="33"/>
    </row>
    <row r="31" spans="1:21" x14ac:dyDescent="0.2">
      <c r="A31" s="110"/>
      <c r="B31" s="110" t="s">
        <v>18</v>
      </c>
      <c r="C31" s="110"/>
      <c r="D31" s="110"/>
      <c r="E31" s="110"/>
      <c r="F31" s="114" t="s">
        <v>5</v>
      </c>
      <c r="G31" s="121">
        <f>'2020'!G29/1000</f>
        <v>-10229.794029999999</v>
      </c>
      <c r="H31" s="118"/>
      <c r="I31" s="121">
        <f>'2020'!H29/1000</f>
        <v>-13621</v>
      </c>
      <c r="J31" s="118"/>
      <c r="K31" s="121">
        <f>'2020'!I29/1000</f>
        <v>-15621</v>
      </c>
      <c r="L31" s="118"/>
      <c r="M31" s="121">
        <f>'2020'!J29/1000</f>
        <v>-17621</v>
      </c>
      <c r="N31" s="118"/>
      <c r="O31" s="121">
        <f>'2020'!K29/1000</f>
        <v>-19621</v>
      </c>
      <c r="Q31" s="33"/>
      <c r="R31" s="1"/>
      <c r="S31" s="1"/>
      <c r="T31" s="33"/>
    </row>
    <row r="32" spans="1:21" x14ac:dyDescent="0.2">
      <c r="A32" s="110"/>
      <c r="B32" s="110" t="s">
        <v>13</v>
      </c>
      <c r="C32" s="110"/>
      <c r="D32" s="110"/>
      <c r="E32" s="110"/>
      <c r="F32" s="114" t="s">
        <v>3</v>
      </c>
      <c r="G32" s="121">
        <f>'2020'!G30/1000</f>
        <v>51.8</v>
      </c>
      <c r="H32" s="118"/>
      <c r="I32" s="121"/>
      <c r="J32" s="118"/>
      <c r="K32" s="121"/>
      <c r="L32" s="118"/>
      <c r="M32" s="121"/>
      <c r="N32" s="118"/>
      <c r="O32" s="121"/>
    </row>
    <row r="33" spans="1:21" x14ac:dyDescent="0.2">
      <c r="A33" s="113" t="s">
        <v>14</v>
      </c>
      <c r="B33" s="110"/>
      <c r="C33" s="110"/>
      <c r="D33" s="110"/>
      <c r="E33" s="110"/>
      <c r="F33" s="114" t="s">
        <v>3</v>
      </c>
      <c r="G33" s="121">
        <f>'2020'!G31/1000</f>
        <v>-0.40310000000000001</v>
      </c>
      <c r="H33" s="118"/>
      <c r="I33" s="121">
        <f>'2020'!H31/1000</f>
        <v>7000</v>
      </c>
      <c r="J33" s="118"/>
      <c r="K33" s="121">
        <f>'2020'!I31/1000</f>
        <v>16006.451999999999</v>
      </c>
      <c r="L33" s="118"/>
      <c r="M33" s="121"/>
      <c r="N33" s="118"/>
      <c r="O33" s="121"/>
    </row>
    <row r="34" spans="1:21" ht="15" x14ac:dyDescent="0.25">
      <c r="A34" s="110" t="s">
        <v>26</v>
      </c>
      <c r="B34" s="110"/>
      <c r="C34" s="110"/>
      <c r="D34" s="110"/>
      <c r="E34" s="110"/>
      <c r="F34" s="114"/>
      <c r="G34" s="122">
        <f t="shared" ref="G34:O34" si="1">SUM(G27:G33)</f>
        <v>36321.602870000002</v>
      </c>
      <c r="H34" s="119"/>
      <c r="I34" s="122">
        <f t="shared" si="1"/>
        <v>35879</v>
      </c>
      <c r="J34" s="119"/>
      <c r="K34" s="122">
        <f t="shared" si="1"/>
        <v>80885.452000000005</v>
      </c>
      <c r="L34" s="119"/>
      <c r="M34" s="122">
        <f t="shared" si="1"/>
        <v>55379</v>
      </c>
      <c r="N34" s="119"/>
      <c r="O34" s="122">
        <f t="shared" si="1"/>
        <v>56379</v>
      </c>
      <c r="Q34" s="1"/>
    </row>
    <row r="35" spans="1:21" x14ac:dyDescent="0.2">
      <c r="A35" s="113"/>
      <c r="B35" s="110"/>
      <c r="C35" s="110"/>
      <c r="D35" s="110"/>
      <c r="E35" s="110"/>
      <c r="F35" s="114"/>
      <c r="G35" s="121"/>
      <c r="H35" s="118"/>
      <c r="I35" s="121"/>
      <c r="J35" s="118"/>
      <c r="K35" s="121"/>
      <c r="L35" s="118"/>
      <c r="M35" s="121"/>
      <c r="N35" s="118"/>
      <c r="O35" s="121"/>
      <c r="S35" s="1"/>
    </row>
    <row r="36" spans="1:21" s="2" customFormat="1" ht="15" x14ac:dyDescent="0.25">
      <c r="A36" s="116" t="s">
        <v>27</v>
      </c>
      <c r="B36" s="116"/>
      <c r="C36" s="116"/>
      <c r="D36" s="116"/>
      <c r="E36" s="116"/>
      <c r="F36" s="117" t="s">
        <v>3</v>
      </c>
      <c r="G36" s="122">
        <f>G23+G34</f>
        <v>16721.51100999994</v>
      </c>
      <c r="H36" s="119"/>
      <c r="I36" s="122">
        <f>I23+I34</f>
        <v>8877.8690000000024</v>
      </c>
      <c r="J36" s="119"/>
      <c r="K36" s="122">
        <f t="shared" ref="K36:O36" si="2">K23+K34</f>
        <v>63424.026000000005</v>
      </c>
      <c r="L36" s="119"/>
      <c r="M36" s="122">
        <f t="shared" si="2"/>
        <v>294.34999999999854</v>
      </c>
      <c r="N36" s="119"/>
      <c r="O36" s="122">
        <f t="shared" si="2"/>
        <v>373.10199999999895</v>
      </c>
      <c r="P36"/>
      <c r="Q36" s="1"/>
      <c r="R36"/>
      <c r="S36"/>
      <c r="T36"/>
      <c r="U36"/>
    </row>
    <row r="37" spans="1:21" x14ac:dyDescent="0.2">
      <c r="A37" s="110"/>
      <c r="B37" s="110"/>
      <c r="C37" s="110"/>
      <c r="D37" s="110"/>
      <c r="E37" s="110"/>
      <c r="F37" s="115"/>
      <c r="G37" s="121"/>
      <c r="H37" s="118"/>
      <c r="I37" s="121"/>
      <c r="J37" s="118"/>
      <c r="K37" s="121"/>
      <c r="L37" s="118"/>
      <c r="M37" s="121"/>
      <c r="N37" s="118"/>
      <c r="O37" s="121"/>
      <c r="R37" s="1"/>
      <c r="S37" s="1"/>
    </row>
    <row r="38" spans="1:21" x14ac:dyDescent="0.2">
      <c r="A38" s="110" t="s">
        <v>28</v>
      </c>
      <c r="B38" s="110"/>
      <c r="C38" s="110"/>
      <c r="D38" s="110"/>
      <c r="E38" s="110"/>
      <c r="F38" s="115"/>
      <c r="G38" s="118">
        <f>'2020'!G36/1000</f>
        <v>32712.613239999999</v>
      </c>
      <c r="H38" s="118"/>
      <c r="I38" s="118">
        <f>I36+G38</f>
        <v>41590.482239999998</v>
      </c>
      <c r="J38" s="118"/>
      <c r="K38" s="118">
        <f>I38+K36</f>
        <v>105014.50824</v>
      </c>
      <c r="L38" s="118"/>
      <c r="M38" s="118">
        <f>K38+M36</f>
        <v>105308.85824</v>
      </c>
      <c r="N38" s="118"/>
      <c r="O38" s="118">
        <f t="shared" ref="O38" si="3">M38+O36</f>
        <v>105681.96024</v>
      </c>
      <c r="P38" s="33"/>
      <c r="Q38" s="46"/>
      <c r="R38" s="46"/>
    </row>
    <row r="39" spans="1:21" x14ac:dyDescent="0.2">
      <c r="A39" s="110" t="s">
        <v>29</v>
      </c>
      <c r="B39" s="110"/>
      <c r="C39" s="110"/>
      <c r="D39" s="110"/>
      <c r="E39" s="110"/>
      <c r="F39" s="115"/>
      <c r="G39" s="118">
        <f>'2020'!G37/1000</f>
        <v>8201.9645099999998</v>
      </c>
      <c r="H39" s="118"/>
      <c r="I39" s="118">
        <f>G38</f>
        <v>32712.613239999999</v>
      </c>
      <c r="J39" s="118"/>
      <c r="K39" s="118">
        <f>I38</f>
        <v>41590.482239999998</v>
      </c>
      <c r="L39" s="118"/>
      <c r="M39" s="118">
        <f>K38</f>
        <v>105014.50824</v>
      </c>
      <c r="N39" s="118"/>
      <c r="O39" s="118">
        <f t="shared" ref="O39" si="4">M38</f>
        <v>105308.85824</v>
      </c>
      <c r="P39" s="33"/>
      <c r="Q39" s="33"/>
      <c r="R39" s="46"/>
    </row>
    <row r="40" spans="1:21" x14ac:dyDescent="0.2">
      <c r="A40" s="110"/>
      <c r="B40" s="110"/>
      <c r="C40" s="110"/>
      <c r="D40" s="110"/>
      <c r="E40" s="110"/>
      <c r="F40" s="115"/>
      <c r="G40" s="118"/>
      <c r="H40" s="118"/>
      <c r="I40" s="118"/>
      <c r="J40" s="118"/>
      <c r="K40" s="118"/>
      <c r="L40" s="118"/>
      <c r="M40" s="118"/>
      <c r="N40" s="118"/>
      <c r="O40" s="118"/>
      <c r="R40" s="1"/>
    </row>
    <row r="41" spans="1:21" x14ac:dyDescent="0.2">
      <c r="A41" s="110"/>
      <c r="B41" s="110"/>
      <c r="C41" s="110"/>
      <c r="D41" s="110"/>
      <c r="E41" s="110"/>
      <c r="F41" s="115"/>
      <c r="G41" s="118"/>
      <c r="H41" s="118"/>
      <c r="I41" s="118"/>
      <c r="J41" s="118"/>
      <c r="K41" s="118"/>
      <c r="L41" s="118"/>
      <c r="M41" s="118"/>
      <c r="N41" s="118"/>
      <c r="O41" s="118"/>
      <c r="R41" s="1"/>
    </row>
    <row r="42" spans="1:21" x14ac:dyDescent="0.2">
      <c r="A42" s="110" t="s">
        <v>16</v>
      </c>
      <c r="B42" s="110"/>
      <c r="C42" s="110"/>
      <c r="D42" s="110"/>
      <c r="E42" s="110"/>
      <c r="F42" s="115"/>
      <c r="G42" s="118">
        <f>'2020'!G40/1000</f>
        <v>258135.57459999999</v>
      </c>
      <c r="H42" s="118"/>
      <c r="I42" s="118">
        <f>G42+I30+I31</f>
        <v>286514.57459999999</v>
      </c>
      <c r="J42" s="118"/>
      <c r="K42" s="118">
        <f>I42+K30+K31</f>
        <v>350893.57459999999</v>
      </c>
      <c r="L42" s="118"/>
      <c r="M42" s="118">
        <f>K42+M30+M31</f>
        <v>405772.57459999999</v>
      </c>
      <c r="N42" s="118"/>
      <c r="O42" s="118">
        <f>M42+O30+O31</f>
        <v>461651.57459999999</v>
      </c>
      <c r="Q42" s="33">
        <v>245861338.88999999</v>
      </c>
      <c r="R42" s="1"/>
    </row>
    <row r="43" spans="1:21" x14ac:dyDescent="0.2">
      <c r="A43" s="110"/>
      <c r="B43" s="110"/>
      <c r="C43" s="110"/>
      <c r="D43" s="110"/>
      <c r="E43" s="110"/>
      <c r="F43" s="115"/>
      <c r="G43" s="118"/>
      <c r="H43" s="118"/>
      <c r="I43" s="118"/>
      <c r="J43" s="118"/>
      <c r="K43" s="118"/>
      <c r="L43" s="118"/>
      <c r="M43" s="118"/>
      <c r="N43" s="118"/>
      <c r="O43" s="118"/>
      <c r="Q43">
        <v>14871115.710000001</v>
      </c>
    </row>
    <row r="44" spans="1:21" x14ac:dyDescent="0.2">
      <c r="A44" s="110" t="s">
        <v>39</v>
      </c>
      <c r="B44" s="110"/>
      <c r="C44" s="110"/>
      <c r="D44" s="110"/>
      <c r="E44" s="110"/>
      <c r="F44" s="115"/>
      <c r="G44" s="118">
        <f>(G23+O55+O56+O57+O58)/1000</f>
        <v>-175.90696698000008</v>
      </c>
      <c r="H44" s="118"/>
      <c r="I44" s="118">
        <f>(I23+G23+O55+O56+O57)/1000</f>
        <v>-137.40890484000005</v>
      </c>
      <c r="J44" s="118"/>
      <c r="K44" s="118">
        <f>(K23+I23+G23+O55+O56)/1000</f>
        <v>-108.50729891000006</v>
      </c>
      <c r="L44" s="118"/>
      <c r="M44" s="118">
        <f>(M23+K23+I23+G23+O55)/1000</f>
        <v>-132.40950822000005</v>
      </c>
      <c r="N44" s="118"/>
      <c r="O44" s="118">
        <f>(I23+G23+K23+M23+O23)/1000</f>
        <v>-175.15319686000009</v>
      </c>
      <c r="P44" s="33"/>
      <c r="Q44" s="33">
        <v>-2596880</v>
      </c>
      <c r="R44" s="33"/>
      <c r="S44" s="33"/>
      <c r="T44" s="33"/>
      <c r="U44" s="33"/>
    </row>
    <row r="45" spans="1:21" x14ac:dyDescent="0.2">
      <c r="A45" s="110"/>
      <c r="B45" s="110"/>
      <c r="C45" s="110"/>
      <c r="D45" s="110"/>
      <c r="E45" s="110"/>
      <c r="F45" s="110"/>
      <c r="G45" s="118"/>
      <c r="H45" s="118"/>
      <c r="I45" s="118"/>
      <c r="J45" s="118"/>
      <c r="K45" s="118"/>
      <c r="L45" s="118"/>
      <c r="M45" s="118"/>
      <c r="N45" s="118"/>
      <c r="O45" s="118"/>
      <c r="P45" s="33"/>
      <c r="Q45" s="33">
        <f>SUM(Q42:Q44)</f>
        <v>258135574.59999999</v>
      </c>
      <c r="R45" s="33"/>
      <c r="S45" s="33"/>
      <c r="T45" s="33"/>
      <c r="U45" s="33"/>
    </row>
    <row r="46" spans="1:21" x14ac:dyDescent="0.2">
      <c r="A46" s="110" t="s">
        <v>17</v>
      </c>
      <c r="B46" s="110"/>
      <c r="C46" s="110"/>
      <c r="D46" s="110"/>
      <c r="E46" s="110"/>
      <c r="F46" s="110"/>
      <c r="G46" s="120">
        <f>-100*G16/(G20+G21)</f>
        <v>19.292301341295985</v>
      </c>
      <c r="H46" s="120"/>
      <c r="I46" s="120">
        <f>-100*I16/(I20+I21)</f>
        <v>36.302158920496232</v>
      </c>
      <c r="J46" s="120"/>
      <c r="K46" s="120">
        <f>-100*K16/(K20+K21)</f>
        <v>69.056484139642038</v>
      </c>
      <c r="L46" s="120"/>
      <c r="M46" s="120">
        <f>-100*M16/(M20+M21)</f>
        <v>35.118197879858656</v>
      </c>
      <c r="N46" s="120"/>
      <c r="O46" s="120">
        <f>-100*O16/(O20+O21)</f>
        <v>37.771224444444442</v>
      </c>
      <c r="P46" s="33"/>
      <c r="Q46" s="33"/>
      <c r="R46" s="33"/>
      <c r="S46" s="46"/>
      <c r="T46" s="33"/>
      <c r="U46" s="33"/>
    </row>
    <row r="47" spans="1:21" x14ac:dyDescent="0.2">
      <c r="A47" s="110"/>
      <c r="B47" s="110"/>
      <c r="C47" s="110"/>
      <c r="D47" s="110"/>
      <c r="E47" s="110"/>
      <c r="F47" s="110"/>
      <c r="G47" s="120"/>
      <c r="H47" s="120"/>
      <c r="I47" s="120"/>
      <c r="J47" s="120"/>
      <c r="K47" s="120"/>
      <c r="L47" s="120"/>
      <c r="M47" s="120"/>
      <c r="N47" s="120"/>
      <c r="O47" s="120"/>
      <c r="P47" s="33"/>
      <c r="Q47" s="33"/>
      <c r="R47" s="33"/>
      <c r="S47" s="46"/>
      <c r="T47" s="33"/>
      <c r="U47" s="33"/>
    </row>
    <row r="48" spans="1:21" s="95" customFormat="1" x14ac:dyDescent="0.2">
      <c r="A48" s="110" t="s">
        <v>30</v>
      </c>
      <c r="B48" s="110"/>
      <c r="C48" s="110"/>
      <c r="D48" s="110"/>
      <c r="E48" s="110"/>
      <c r="F48" s="110"/>
      <c r="G48" s="120">
        <f>'2020'!G46</f>
        <v>0.67388061187256398</v>
      </c>
      <c r="H48" s="120"/>
      <c r="I48" s="120">
        <f>'2020'!H46</f>
        <v>1.3020891226476243</v>
      </c>
      <c r="J48" s="120"/>
      <c r="K48" s="120">
        <f>'2020'!I46</f>
        <v>2.2210435646671201</v>
      </c>
      <c r="L48" s="120"/>
      <c r="M48" s="120">
        <f>'2020'!J46</f>
        <v>1.5719408095305099</v>
      </c>
      <c r="N48" s="120"/>
      <c r="O48" s="120">
        <f>'2020'!K46</f>
        <v>1.5958750466398575</v>
      </c>
      <c r="P48" s="94"/>
      <c r="Q48" s="94"/>
      <c r="R48" s="94"/>
      <c r="S48" s="94"/>
      <c r="T48" s="94"/>
      <c r="U48" s="94"/>
    </row>
    <row r="49" spans="1:21" s="95" customFormat="1" x14ac:dyDescent="0.2">
      <c r="A49" s="110"/>
      <c r="B49" s="110"/>
      <c r="C49" s="110"/>
      <c r="D49" s="110"/>
      <c r="E49" s="110"/>
      <c r="F49" s="110"/>
      <c r="G49" s="120"/>
      <c r="H49" s="120"/>
      <c r="I49" s="120"/>
      <c r="J49" s="120"/>
      <c r="K49" s="120"/>
      <c r="L49" s="120"/>
      <c r="M49" s="120"/>
      <c r="N49" s="120"/>
      <c r="O49" s="120"/>
      <c r="P49" s="94"/>
      <c r="Q49" s="94"/>
      <c r="R49" s="94"/>
      <c r="S49" s="94"/>
      <c r="T49" s="94"/>
      <c r="U49" s="94"/>
    </row>
    <row r="50" spans="1:21" s="95" customFormat="1" x14ac:dyDescent="0.2">
      <c r="A50" s="110" t="s">
        <v>31</v>
      </c>
      <c r="B50" s="110"/>
      <c r="C50" s="110"/>
      <c r="D50" s="110"/>
      <c r="E50" s="110"/>
      <c r="F50" s="110"/>
      <c r="G50" s="118">
        <f>'2020'!G48</f>
        <v>24.017691318532815</v>
      </c>
      <c r="H50" s="118"/>
      <c r="I50" s="118">
        <f>'2020'!H48</f>
        <v>29.481522292345783</v>
      </c>
      <c r="J50" s="118"/>
      <c r="K50" s="118">
        <f>'2020'!I48</f>
        <v>73.923396445189169</v>
      </c>
      <c r="L50" s="118"/>
      <c r="M50" s="118">
        <f>'2020'!J48</f>
        <v>69.608334532943644</v>
      </c>
      <c r="N50" s="118"/>
      <c r="O50" s="118">
        <f>'2020'!K48</f>
        <v>68.325632301628247</v>
      </c>
      <c r="P50" s="94"/>
      <c r="Q50" s="94"/>
      <c r="R50" s="94"/>
      <c r="S50" s="94"/>
      <c r="T50" s="94"/>
      <c r="U50" s="94"/>
    </row>
    <row r="51" spans="1:21" s="95" customFormat="1" x14ac:dyDescent="0.2">
      <c r="A51" s="110"/>
      <c r="B51" s="110"/>
      <c r="C51" s="110"/>
      <c r="D51" s="110"/>
      <c r="E51" s="110"/>
      <c r="F51" s="110"/>
      <c r="G51" s="118"/>
      <c r="H51" s="118"/>
      <c r="I51" s="118"/>
      <c r="J51" s="118"/>
      <c r="K51" s="118"/>
      <c r="L51" s="118"/>
      <c r="M51" s="118"/>
      <c r="N51" s="118"/>
      <c r="O51" s="118"/>
      <c r="P51" s="94"/>
      <c r="Q51" s="94"/>
      <c r="R51" s="94"/>
      <c r="S51" s="94"/>
      <c r="T51" s="94"/>
      <c r="U51" s="94"/>
    </row>
    <row r="52" spans="1:21" x14ac:dyDescent="0.2">
      <c r="A52" s="25"/>
      <c r="B52" s="25"/>
      <c r="C52" s="25"/>
      <c r="D52" s="25"/>
      <c r="E52" s="25"/>
      <c r="F52" s="25"/>
      <c r="G52" s="48"/>
      <c r="H52" s="48"/>
      <c r="I52" s="49"/>
      <c r="J52" s="49"/>
      <c r="K52" s="49"/>
      <c r="L52" s="49"/>
      <c r="M52" s="48"/>
      <c r="N52" s="48"/>
      <c r="O52" s="48"/>
    </row>
    <row r="53" spans="1:21" hidden="1" x14ac:dyDescent="0.2">
      <c r="C53" s="35" t="s">
        <v>33</v>
      </c>
      <c r="E53" s="35" t="s">
        <v>32</v>
      </c>
      <c r="G53" s="4" t="s">
        <v>47</v>
      </c>
      <c r="I53" s="37" t="s">
        <v>61</v>
      </c>
    </row>
    <row r="54" spans="1:21" hidden="1" x14ac:dyDescent="0.2">
      <c r="C54" s="4">
        <f>C55-C56-C57-C58-C59</f>
        <v>-384270.16000000003</v>
      </c>
      <c r="E54" s="4">
        <f>E55-E56-E57-E58-E59</f>
        <v>-1849344.6900000002</v>
      </c>
      <c r="G54" s="4">
        <v>-31182440.690000001</v>
      </c>
      <c r="I54" s="37">
        <v>-13262209.359999999</v>
      </c>
      <c r="M54" s="4">
        <v>2018</v>
      </c>
      <c r="O54" s="4">
        <f>G23</f>
        <v>-19600.091860000062</v>
      </c>
    </row>
    <row r="55" spans="1:21" hidden="1" x14ac:dyDescent="0.2">
      <c r="B55" s="3" t="s">
        <v>34</v>
      </c>
      <c r="C55" s="4">
        <v>-343421.37</v>
      </c>
      <c r="E55" s="4">
        <v>-2058645.87</v>
      </c>
      <c r="G55" s="4" t="s">
        <v>53</v>
      </c>
      <c r="M55" s="4">
        <v>2017</v>
      </c>
      <c r="O55" s="4">
        <f>'2020'!K53/1000</f>
        <v>-13262.209359999999</v>
      </c>
    </row>
    <row r="56" spans="1:21" hidden="1" x14ac:dyDescent="0.2">
      <c r="B56" s="3" t="s">
        <v>35</v>
      </c>
      <c r="C56" s="4">
        <v>-11022</v>
      </c>
      <c r="E56" s="4">
        <v>-206806.43</v>
      </c>
      <c r="M56" s="4">
        <v>2016</v>
      </c>
      <c r="O56" s="4">
        <f>'2020'!K54/1000</f>
        <v>-31182.440690000003</v>
      </c>
    </row>
    <row r="57" spans="1:21" hidden="1" x14ac:dyDescent="0.2">
      <c r="B57" s="3" t="s">
        <v>36</v>
      </c>
      <c r="C57" s="4">
        <v>101981.2</v>
      </c>
      <c r="E57" s="4">
        <v>-41108.11</v>
      </c>
      <c r="M57" s="4">
        <v>2015</v>
      </c>
      <c r="O57" s="4">
        <f>'2020'!K55/1000</f>
        <v>-46363.031929999997</v>
      </c>
    </row>
    <row r="58" spans="1:21" hidden="1" x14ac:dyDescent="0.2">
      <c r="B58" s="3" t="s">
        <v>37</v>
      </c>
      <c r="C58" s="4">
        <v>-154554.04</v>
      </c>
      <c r="E58" s="4">
        <v>-81650.38</v>
      </c>
      <c r="M58" s="4">
        <v>2014</v>
      </c>
      <c r="O58" s="4">
        <f>'2020'!K56/1000</f>
        <v>-65499.193140000003</v>
      </c>
    </row>
    <row r="59" spans="1:21" hidden="1" x14ac:dyDescent="0.2">
      <c r="B59" s="3" t="s">
        <v>38</v>
      </c>
      <c r="C59" s="4">
        <v>104443.63</v>
      </c>
      <c r="E59" s="4">
        <v>120263.74</v>
      </c>
      <c r="I59" s="37">
        <f>G23+I54+G54+E72+E69</f>
        <v>-156326475.21186</v>
      </c>
    </row>
    <row r="60" spans="1:21" hidden="1" x14ac:dyDescent="0.2">
      <c r="I60" s="37">
        <f>I59/1000000</f>
        <v>-156.32647521186001</v>
      </c>
    </row>
    <row r="61" spans="1:21" hidden="1" x14ac:dyDescent="0.2">
      <c r="E61" s="4" t="s">
        <v>40</v>
      </c>
    </row>
    <row r="62" spans="1:21" hidden="1" x14ac:dyDescent="0.2">
      <c r="E62" s="4" t="e">
        <f>E63-E64-#REF!-#REF!-#REF!</f>
        <v>#REF!</v>
      </c>
    </row>
    <row r="63" spans="1:21" hidden="1" x14ac:dyDescent="0.2">
      <c r="B63" s="4">
        <v>207365368.63</v>
      </c>
      <c r="E63" s="4">
        <v>-29625600.109999999</v>
      </c>
    </row>
    <row r="64" spans="1:21" hidden="1" x14ac:dyDescent="0.2">
      <c r="B64" s="4">
        <f>11891060.04-2651360</f>
        <v>9239700.0399999991</v>
      </c>
      <c r="E64" s="4">
        <v>70436.59</v>
      </c>
    </row>
    <row r="65" spans="2:16" hidden="1" x14ac:dyDescent="0.2">
      <c r="B65" s="4">
        <f>SUM(B63:B64)</f>
        <v>216605068.66999999</v>
      </c>
      <c r="E65" s="4" t="s">
        <v>41</v>
      </c>
    </row>
    <row r="66" spans="2:16" hidden="1" x14ac:dyDescent="0.2">
      <c r="E66" s="4">
        <v>-39107014</v>
      </c>
    </row>
    <row r="67" spans="2:16" hidden="1" x14ac:dyDescent="0.2"/>
    <row r="68" spans="2:16" hidden="1" x14ac:dyDescent="0.2">
      <c r="E68" s="37" t="s">
        <v>43</v>
      </c>
    </row>
    <row r="69" spans="2:16" hidden="1" x14ac:dyDescent="0.2">
      <c r="E69" s="37">
        <v>-65499193.140000001</v>
      </c>
    </row>
    <row r="70" spans="2:16" hidden="1" x14ac:dyDescent="0.2"/>
    <row r="71" spans="2:16" hidden="1" x14ac:dyDescent="0.2">
      <c r="E71" s="4" t="s">
        <v>44</v>
      </c>
    </row>
    <row r="72" spans="2:16" hidden="1" x14ac:dyDescent="0.2">
      <c r="E72" s="4">
        <v>-46363031.93</v>
      </c>
    </row>
    <row r="73" spans="2:16" hidden="1" x14ac:dyDescent="0.2"/>
    <row r="74" spans="2:16" hidden="1" x14ac:dyDescent="0.2"/>
    <row r="76" spans="2:16" ht="15" hidden="1" x14ac:dyDescent="0.25">
      <c r="B76" s="2" t="s">
        <v>63</v>
      </c>
    </row>
    <row r="77" spans="2:16" hidden="1" x14ac:dyDescent="0.2"/>
    <row r="78" spans="2:16" hidden="1" x14ac:dyDescent="0.2">
      <c r="B78" s="97" t="s">
        <v>80</v>
      </c>
    </row>
    <row r="79" spans="2:16" hidden="1" x14ac:dyDescent="0.2"/>
    <row r="80" spans="2:16" ht="15" hidden="1" x14ac:dyDescent="0.25">
      <c r="C80" s="2" t="s">
        <v>64</v>
      </c>
      <c r="G80" s="3"/>
      <c r="H80" s="3"/>
      <c r="I80" s="4"/>
      <c r="J80" s="4"/>
      <c r="M80" s="37"/>
      <c r="N80" s="37"/>
      <c r="P80" s="4"/>
    </row>
    <row r="81" spans="2:16" ht="37.5" hidden="1" customHeight="1" x14ac:dyDescent="0.2">
      <c r="C81" s="138" t="s">
        <v>62</v>
      </c>
      <c r="D81" s="139"/>
      <c r="E81" s="139"/>
      <c r="F81" s="139"/>
      <c r="G81" s="139"/>
      <c r="H81" s="139"/>
      <c r="I81" s="139"/>
      <c r="J81" s="139"/>
      <c r="K81" s="139"/>
      <c r="L81" s="139"/>
      <c r="M81" s="139"/>
      <c r="N81" s="139"/>
      <c r="O81" s="139"/>
      <c r="P81" s="99"/>
    </row>
    <row r="82" spans="2:16" hidden="1" x14ac:dyDescent="0.2">
      <c r="G82" s="3"/>
      <c r="H82" s="3"/>
      <c r="I82" s="4"/>
      <c r="J82" s="4"/>
      <c r="M82" s="37"/>
      <c r="N82" s="37"/>
      <c r="P82" s="4"/>
    </row>
    <row r="83" spans="2:16" ht="15" hidden="1" x14ac:dyDescent="0.25">
      <c r="C83" s="2" t="s">
        <v>17</v>
      </c>
      <c r="G83" s="3"/>
      <c r="H83" s="3"/>
      <c r="I83" s="4"/>
      <c r="J83" s="4"/>
      <c r="M83" s="37"/>
      <c r="N83" s="37"/>
      <c r="P83" s="4"/>
    </row>
    <row r="84" spans="2:16" hidden="1" x14ac:dyDescent="0.2">
      <c r="C84" s="96" t="s">
        <v>79</v>
      </c>
      <c r="G84" s="3"/>
      <c r="H84" s="3"/>
      <c r="I84" s="4"/>
      <c r="J84" s="4"/>
      <c r="M84" s="37"/>
      <c r="N84" s="37"/>
      <c r="P84" s="4"/>
    </row>
    <row r="85" spans="2:16" hidden="1" x14ac:dyDescent="0.2">
      <c r="G85" s="3"/>
      <c r="H85" s="3"/>
      <c r="I85" s="4"/>
      <c r="J85" s="4"/>
      <c r="M85" s="37"/>
      <c r="N85" s="37"/>
      <c r="P85" s="4"/>
    </row>
    <row r="86" spans="2:16" ht="52.5" hidden="1" customHeight="1" x14ac:dyDescent="0.2">
      <c r="C86" s="138" t="s">
        <v>65</v>
      </c>
      <c r="D86" s="139"/>
      <c r="E86" s="139"/>
      <c r="F86" s="139"/>
      <c r="G86" s="139"/>
      <c r="H86" s="139"/>
      <c r="I86" s="139"/>
      <c r="J86" s="139"/>
      <c r="K86" s="139"/>
      <c r="L86" s="139"/>
      <c r="M86" s="139"/>
      <c r="N86" s="139"/>
      <c r="O86" s="139"/>
      <c r="P86" s="4"/>
    </row>
    <row r="87" spans="2:16" hidden="1" x14ac:dyDescent="0.2">
      <c r="C87" s="3" t="s">
        <v>66</v>
      </c>
      <c r="G87" s="3"/>
      <c r="H87" s="3"/>
      <c r="I87" s="4"/>
      <c r="J87" s="4"/>
      <c r="M87" s="37"/>
      <c r="N87" s="37"/>
      <c r="P87" s="4"/>
    </row>
    <row r="88" spans="2:16" hidden="1" x14ac:dyDescent="0.2">
      <c r="G88" s="3"/>
      <c r="H88" s="3"/>
      <c r="I88" s="4"/>
      <c r="J88" s="4"/>
      <c r="M88" s="37"/>
      <c r="N88" s="37"/>
      <c r="P88" s="4"/>
    </row>
    <row r="89" spans="2:16" hidden="1" x14ac:dyDescent="0.2"/>
    <row r="90" spans="2:16" hidden="1" x14ac:dyDescent="0.2">
      <c r="B90" s="97" t="s">
        <v>81</v>
      </c>
    </row>
    <row r="91" spans="2:16" hidden="1" x14ac:dyDescent="0.2"/>
    <row r="92" spans="2:16" ht="15" hidden="1" x14ac:dyDescent="0.25">
      <c r="C92" s="2" t="s">
        <v>16</v>
      </c>
    </row>
    <row r="93" spans="2:16" hidden="1" x14ac:dyDescent="0.2">
      <c r="C93" s="96" t="s">
        <v>87</v>
      </c>
    </row>
    <row r="94" spans="2:16" hidden="1" x14ac:dyDescent="0.2">
      <c r="C94" s="96"/>
    </row>
    <row r="95" spans="2:16" ht="51" hidden="1" customHeight="1" x14ac:dyDescent="0.2">
      <c r="C95" s="138" t="s">
        <v>86</v>
      </c>
      <c r="D95" s="139"/>
      <c r="E95" s="139"/>
      <c r="F95" s="139"/>
      <c r="G95" s="139"/>
      <c r="H95" s="139"/>
      <c r="I95" s="139"/>
      <c r="J95" s="139"/>
      <c r="K95" s="139"/>
      <c r="L95" s="139"/>
      <c r="M95" s="139"/>
      <c r="N95" s="139"/>
      <c r="O95" s="139"/>
    </row>
    <row r="96" spans="2:16" hidden="1" x14ac:dyDescent="0.2">
      <c r="C96" s="100"/>
      <c r="D96" s="99"/>
      <c r="E96" s="99"/>
      <c r="F96" s="99"/>
      <c r="G96" s="99"/>
      <c r="H96" s="99"/>
      <c r="I96" s="99"/>
      <c r="J96" s="99"/>
      <c r="K96" s="99"/>
      <c r="L96" s="99"/>
      <c r="M96" s="99"/>
      <c r="N96" s="99"/>
      <c r="O96" s="99"/>
    </row>
    <row r="97" spans="2:16" hidden="1" x14ac:dyDescent="0.2"/>
    <row r="98" spans="2:16" ht="15" hidden="1" x14ac:dyDescent="0.25">
      <c r="C98" s="2" t="s">
        <v>30</v>
      </c>
    </row>
    <row r="99" spans="2:16" hidden="1" x14ac:dyDescent="0.2">
      <c r="C99" s="96" t="s">
        <v>83</v>
      </c>
      <c r="G99" s="3"/>
      <c r="H99" s="3"/>
      <c r="I99" s="4"/>
      <c r="J99" s="4"/>
      <c r="M99" s="37"/>
      <c r="N99" s="37"/>
      <c r="P99" s="4"/>
    </row>
    <row r="100" spans="2:16" hidden="1" x14ac:dyDescent="0.2">
      <c r="G100" s="3"/>
      <c r="H100" s="3"/>
      <c r="I100" s="4"/>
      <c r="J100" s="4"/>
      <c r="M100" s="37"/>
      <c r="N100" s="37"/>
      <c r="P100" s="4"/>
    </row>
    <row r="101" spans="2:16" ht="41.25" hidden="1" customHeight="1" x14ac:dyDescent="0.2">
      <c r="C101" s="138" t="s">
        <v>67</v>
      </c>
      <c r="D101" s="139"/>
      <c r="E101" s="139"/>
      <c r="F101" s="139"/>
      <c r="G101" s="139"/>
      <c r="H101" s="139"/>
      <c r="I101" s="139"/>
      <c r="J101" s="139"/>
      <c r="K101" s="139"/>
      <c r="L101" s="139"/>
      <c r="M101" s="139"/>
      <c r="N101" s="139"/>
      <c r="O101" s="139"/>
    </row>
    <row r="102" spans="2:16" ht="30.75" hidden="1" customHeight="1" x14ac:dyDescent="0.2">
      <c r="C102" s="138" t="s">
        <v>68</v>
      </c>
      <c r="D102" s="139"/>
      <c r="E102" s="139"/>
      <c r="F102" s="139"/>
      <c r="G102" s="139"/>
      <c r="H102" s="139"/>
      <c r="I102" s="139"/>
      <c r="J102" s="139"/>
      <c r="K102" s="139"/>
      <c r="L102" s="139"/>
      <c r="M102" s="139"/>
      <c r="N102" s="139"/>
      <c r="O102" s="139"/>
    </row>
    <row r="103" spans="2:16" ht="44.25" hidden="1" customHeight="1" x14ac:dyDescent="0.2">
      <c r="C103" s="138" t="s">
        <v>69</v>
      </c>
      <c r="D103" s="139"/>
      <c r="E103" s="139"/>
      <c r="F103" s="139"/>
      <c r="G103" s="139"/>
      <c r="H103" s="139"/>
      <c r="I103" s="139"/>
      <c r="J103" s="139"/>
      <c r="K103" s="139"/>
      <c r="L103" s="139"/>
      <c r="M103" s="139"/>
      <c r="N103" s="139"/>
      <c r="O103" s="139"/>
    </row>
    <row r="104" spans="2:16" hidden="1" x14ac:dyDescent="0.2"/>
    <row r="105" spans="2:16" hidden="1" x14ac:dyDescent="0.2"/>
    <row r="106" spans="2:16" hidden="1" x14ac:dyDescent="0.2">
      <c r="B106" s="97" t="s">
        <v>82</v>
      </c>
    </row>
    <row r="107" spans="2:16" hidden="1" x14ac:dyDescent="0.2"/>
    <row r="108" spans="2:16" ht="15" hidden="1" x14ac:dyDescent="0.25">
      <c r="C108" s="2" t="s">
        <v>84</v>
      </c>
    </row>
    <row r="109" spans="2:16" hidden="1" x14ac:dyDescent="0.2">
      <c r="C109" s="96" t="s">
        <v>85</v>
      </c>
      <c r="G109" s="3"/>
      <c r="H109" s="3"/>
      <c r="I109" s="4"/>
      <c r="J109" s="4"/>
      <c r="M109" s="37"/>
      <c r="N109" s="37"/>
      <c r="P109" s="4"/>
    </row>
    <row r="110" spans="2:16" hidden="1" x14ac:dyDescent="0.2"/>
    <row r="111" spans="2:16" ht="42.75" hidden="1" customHeight="1" x14ac:dyDescent="0.2">
      <c r="C111" s="138" t="s">
        <v>70</v>
      </c>
      <c r="D111" s="139"/>
      <c r="E111" s="139"/>
      <c r="F111" s="139"/>
      <c r="G111" s="139"/>
      <c r="H111" s="139"/>
      <c r="I111" s="139"/>
      <c r="J111" s="139"/>
      <c r="K111" s="139"/>
      <c r="L111" s="139"/>
      <c r="M111" s="139"/>
      <c r="N111" s="139"/>
      <c r="O111" s="139"/>
    </row>
    <row r="112" spans="2:16" hidden="1" x14ac:dyDescent="0.2"/>
    <row r="113" spans="3:15" hidden="1" x14ac:dyDescent="0.2">
      <c r="C113" s="3" t="s">
        <v>71</v>
      </c>
    </row>
    <row r="114" spans="3:15" hidden="1" x14ac:dyDescent="0.2">
      <c r="C114" s="3" t="s">
        <v>72</v>
      </c>
    </row>
    <row r="115" spans="3:15" hidden="1" x14ac:dyDescent="0.2">
      <c r="C115" s="3" t="s">
        <v>73</v>
      </c>
    </row>
    <row r="116" spans="3:15" hidden="1" x14ac:dyDescent="0.2">
      <c r="C116" s="3" t="s">
        <v>74</v>
      </c>
    </row>
    <row r="117" spans="3:15" hidden="1" x14ac:dyDescent="0.2">
      <c r="C117" s="3" t="s">
        <v>75</v>
      </c>
    </row>
    <row r="118" spans="3:15" hidden="1" x14ac:dyDescent="0.2">
      <c r="C118" s="3" t="s">
        <v>23</v>
      </c>
    </row>
    <row r="119" spans="3:15" hidden="1" x14ac:dyDescent="0.2">
      <c r="C119" s="3" t="s">
        <v>76</v>
      </c>
    </row>
    <row r="120" spans="3:15" hidden="1" x14ac:dyDescent="0.2">
      <c r="C120" s="3" t="s">
        <v>77</v>
      </c>
    </row>
    <row r="121" spans="3:15" ht="47.25" hidden="1" customHeight="1" x14ac:dyDescent="0.2">
      <c r="C121" s="138" t="s">
        <v>78</v>
      </c>
      <c r="D121" s="139"/>
      <c r="E121" s="139"/>
      <c r="F121" s="139"/>
      <c r="G121" s="139"/>
      <c r="H121" s="139"/>
      <c r="I121" s="139"/>
      <c r="J121" s="139"/>
      <c r="K121" s="139"/>
      <c r="L121" s="139"/>
      <c r="M121" s="139"/>
      <c r="N121" s="139"/>
      <c r="O121" s="139"/>
    </row>
    <row r="122" spans="3:15" hidden="1" x14ac:dyDescent="0.2"/>
    <row r="123" spans="3:15" hidden="1" x14ac:dyDescent="0.2"/>
  </sheetData>
  <mergeCells count="8">
    <mergeCell ref="C111:O111"/>
    <mergeCell ref="C121:O121"/>
    <mergeCell ref="C81:O81"/>
    <mergeCell ref="C86:O86"/>
    <mergeCell ref="C95:O95"/>
    <mergeCell ref="C101:O101"/>
    <mergeCell ref="C102:O102"/>
    <mergeCell ref="C103:O103"/>
  </mergeCells>
  <phoneticPr fontId="6" type="noConversion"/>
  <printOptions horizontalCentered="1"/>
  <pageMargins left="0.35433070866141736" right="0.35433070866141736" top="0.39370078740157483" bottom="0.39370078740157483"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workbookViewId="0">
      <selection activeCell="L15" sqref="L15"/>
    </sheetView>
  </sheetViews>
  <sheetFormatPr defaultColWidth="9.140625" defaultRowHeight="14.25" x14ac:dyDescent="0.2"/>
  <cols>
    <col min="1" max="1" width="2.85546875" style="3" customWidth="1"/>
    <col min="2" max="4" width="9.140625" style="3"/>
    <col min="5" max="5" width="27.140625" style="3" customWidth="1"/>
    <col min="6" max="6" width="5.85546875" style="3" customWidth="1"/>
    <col min="7" max="7" width="16.7109375" style="4" customWidth="1"/>
    <col min="8" max="10" width="16.7109375" style="37" customWidth="1"/>
    <col min="11" max="12" width="16.7109375" style="4" customWidth="1"/>
    <col min="14" max="14" width="12.28515625" customWidth="1"/>
    <col min="15" max="15" width="11.140625" bestFit="1" customWidth="1"/>
    <col min="16" max="16" width="15.28515625" customWidth="1"/>
    <col min="17" max="17" width="11.5703125" bestFit="1" customWidth="1"/>
    <col min="18" max="18" width="8.85546875" customWidth="1"/>
    <col min="19" max="16384" width="9.140625" style="3"/>
  </cols>
  <sheetData>
    <row r="1" spans="1:15" ht="15" x14ac:dyDescent="0.25">
      <c r="A1" s="2" t="s">
        <v>0</v>
      </c>
    </row>
    <row r="2" spans="1:15" ht="15" x14ac:dyDescent="0.25">
      <c r="A2" s="2" t="s">
        <v>1</v>
      </c>
      <c r="K2" s="59" t="s">
        <v>57</v>
      </c>
      <c r="O2" s="44"/>
    </row>
    <row r="3" spans="1:15" ht="15" x14ac:dyDescent="0.25">
      <c r="A3" s="2"/>
      <c r="O3" s="37"/>
    </row>
    <row r="5" spans="1:15" ht="14.25" customHeight="1" x14ac:dyDescent="0.25">
      <c r="A5" s="31" t="s">
        <v>15</v>
      </c>
      <c r="B5" s="5"/>
      <c r="C5" s="5"/>
      <c r="D5" s="5"/>
      <c r="E5" s="5"/>
      <c r="F5" s="5"/>
      <c r="G5" s="6"/>
      <c r="H5" s="38"/>
      <c r="I5" s="38"/>
      <c r="J5" s="38"/>
      <c r="K5" s="6"/>
      <c r="L5" s="7"/>
    </row>
    <row r="6" spans="1:15" ht="14.25" customHeight="1" x14ac:dyDescent="0.2">
      <c r="A6" s="8"/>
      <c r="B6" s="9"/>
      <c r="C6" s="9"/>
      <c r="D6" s="9"/>
      <c r="E6" s="9"/>
      <c r="F6" s="9"/>
      <c r="G6" s="10"/>
      <c r="H6" s="39"/>
      <c r="I6" s="39"/>
      <c r="J6" s="39"/>
      <c r="K6" s="10"/>
      <c r="L6" s="11"/>
    </row>
    <row r="7" spans="1:15" ht="14.25" customHeight="1" x14ac:dyDescent="0.25">
      <c r="A7" s="12" t="s">
        <v>19</v>
      </c>
      <c r="B7" s="9"/>
      <c r="C7" s="9"/>
      <c r="D7" s="9"/>
      <c r="E7" s="9"/>
      <c r="F7" s="9"/>
      <c r="G7" s="10"/>
      <c r="H7" s="39"/>
      <c r="I7" s="39"/>
      <c r="J7" s="39"/>
      <c r="K7" s="10"/>
      <c r="L7" s="11"/>
    </row>
    <row r="8" spans="1:15" ht="14.25" customHeight="1" x14ac:dyDescent="0.25">
      <c r="A8" s="13"/>
      <c r="B8" s="14"/>
      <c r="C8" s="14"/>
      <c r="D8" s="14"/>
      <c r="E8" s="14"/>
      <c r="F8" s="14"/>
      <c r="G8" s="15"/>
      <c r="H8" s="40"/>
      <c r="I8" s="40"/>
      <c r="J8" s="40"/>
      <c r="K8" s="15"/>
      <c r="L8" s="16"/>
    </row>
    <row r="9" spans="1:15" ht="15" x14ac:dyDescent="0.25">
      <c r="A9" s="17"/>
      <c r="B9" s="18"/>
      <c r="C9" s="18"/>
      <c r="D9" s="18"/>
      <c r="E9" s="18"/>
      <c r="F9" s="19"/>
      <c r="G9" s="20" t="s">
        <v>48</v>
      </c>
      <c r="H9" s="51" t="s">
        <v>45</v>
      </c>
      <c r="I9" s="52" t="s">
        <v>55</v>
      </c>
      <c r="J9" s="52" t="s">
        <v>49</v>
      </c>
      <c r="K9" s="20" t="s">
        <v>46</v>
      </c>
      <c r="L9" s="53" t="s">
        <v>50</v>
      </c>
      <c r="M9" s="33"/>
      <c r="N9" s="33"/>
      <c r="O9" s="33"/>
    </row>
    <row r="10" spans="1:15" ht="15" x14ac:dyDescent="0.25">
      <c r="A10" s="28"/>
      <c r="B10" s="25"/>
      <c r="C10" s="25"/>
      <c r="D10" s="25"/>
      <c r="E10" s="25"/>
      <c r="F10" s="26"/>
      <c r="G10" s="36" t="s">
        <v>20</v>
      </c>
      <c r="H10" s="36" t="s">
        <v>20</v>
      </c>
      <c r="I10" s="36" t="s">
        <v>56</v>
      </c>
      <c r="J10" s="36" t="s">
        <v>20</v>
      </c>
      <c r="K10" s="36" t="s">
        <v>20</v>
      </c>
      <c r="L10" s="54" t="s">
        <v>20</v>
      </c>
      <c r="M10" s="33"/>
      <c r="N10" s="33"/>
      <c r="O10" s="33"/>
    </row>
    <row r="11" spans="1:15" ht="15" x14ac:dyDescent="0.25">
      <c r="A11" s="21"/>
      <c r="B11" s="22"/>
      <c r="C11" s="22"/>
      <c r="D11" s="22"/>
      <c r="E11" s="22"/>
      <c r="F11" s="23"/>
      <c r="G11" s="24"/>
      <c r="H11" s="24"/>
      <c r="I11" s="24" t="s">
        <v>20</v>
      </c>
      <c r="J11" s="24"/>
      <c r="K11" s="24"/>
      <c r="L11" s="55"/>
      <c r="M11" s="33"/>
      <c r="N11" s="33"/>
      <c r="O11" s="33"/>
    </row>
    <row r="12" spans="1:15" x14ac:dyDescent="0.2">
      <c r="A12" s="60" t="s">
        <v>21</v>
      </c>
      <c r="B12" s="61"/>
      <c r="C12" s="61"/>
      <c r="D12" s="61"/>
      <c r="E12" s="61"/>
      <c r="F12" s="62"/>
      <c r="G12" s="27"/>
      <c r="H12" s="27"/>
      <c r="I12" s="27"/>
      <c r="J12" s="27"/>
      <c r="K12" s="27"/>
      <c r="L12" s="29"/>
      <c r="M12" s="33"/>
      <c r="N12" s="33"/>
      <c r="O12" s="33"/>
    </row>
    <row r="13" spans="1:15" ht="14.25" customHeight="1" x14ac:dyDescent="0.2">
      <c r="A13" s="63"/>
      <c r="B13" s="61" t="s">
        <v>2</v>
      </c>
      <c r="C13" s="61"/>
      <c r="D13" s="61"/>
      <c r="E13" s="61"/>
      <c r="F13" s="64" t="s">
        <v>3</v>
      </c>
      <c r="G13" s="69">
        <f>[4]Taul1!$F$67</f>
        <v>6036764.4999999357</v>
      </c>
      <c r="H13" s="69" t="e">
        <f>[4]Taul1!#REF!</f>
        <v>#REF!</v>
      </c>
      <c r="I13" s="69"/>
      <c r="J13" s="69">
        <f>[5]Taul1!$H$75</f>
        <v>24226060</v>
      </c>
      <c r="K13" s="69">
        <f>[5]Taul1!$I$75</f>
        <v>19377755</v>
      </c>
      <c r="L13" s="70">
        <f>[5]Taul1!$J$75</f>
        <v>28899228</v>
      </c>
      <c r="M13" s="33"/>
      <c r="N13" s="33"/>
      <c r="O13" s="33"/>
    </row>
    <row r="14" spans="1:15" x14ac:dyDescent="0.2">
      <c r="A14" s="63"/>
      <c r="B14" s="61" t="s">
        <v>4</v>
      </c>
      <c r="C14" s="61"/>
      <c r="D14" s="61"/>
      <c r="E14" s="61"/>
      <c r="F14" s="64" t="s">
        <v>3</v>
      </c>
      <c r="G14" s="69">
        <f>[4]Taul1!$F$83</f>
        <v>9337238.0700000003</v>
      </c>
      <c r="H14" s="69" t="e">
        <f>[4]Taul1!#REF!</f>
        <v>#REF!</v>
      </c>
      <c r="I14" s="69"/>
      <c r="J14" s="69">
        <f>[5]Taul1!$H$93</f>
        <v>2000000</v>
      </c>
      <c r="K14" s="69">
        <f>[5]Taul1!$I$93</f>
        <v>5928089</v>
      </c>
      <c r="L14" s="70">
        <f>[5]Taul1!$J$93</f>
        <v>0</v>
      </c>
      <c r="M14" s="33"/>
      <c r="N14" s="33"/>
      <c r="O14" s="46"/>
    </row>
    <row r="15" spans="1:15" x14ac:dyDescent="0.2">
      <c r="A15" s="63"/>
      <c r="B15" s="61" t="s">
        <v>9</v>
      </c>
      <c r="C15" s="61"/>
      <c r="D15" s="61"/>
      <c r="E15" s="61"/>
      <c r="F15" s="64" t="s">
        <v>3</v>
      </c>
      <c r="G15" s="69">
        <v>99027.78</v>
      </c>
      <c r="H15" s="69"/>
      <c r="I15" s="69"/>
      <c r="J15" s="69"/>
      <c r="K15" s="69"/>
      <c r="L15" s="70"/>
      <c r="M15" s="33"/>
      <c r="N15" s="33"/>
      <c r="O15" s="33"/>
    </row>
    <row r="16" spans="1:15" x14ac:dyDescent="0.2">
      <c r="A16" s="60" t="s">
        <v>22</v>
      </c>
      <c r="B16" s="61"/>
      <c r="C16" s="61"/>
      <c r="D16" s="61"/>
      <c r="E16" s="61"/>
      <c r="F16" s="65"/>
      <c r="G16" s="69"/>
      <c r="H16" s="69"/>
      <c r="I16" s="69"/>
      <c r="J16" s="69"/>
      <c r="K16" s="69"/>
      <c r="L16" s="70"/>
      <c r="M16" s="33"/>
      <c r="N16" s="33"/>
      <c r="O16" s="33"/>
    </row>
    <row r="17" spans="1:18" x14ac:dyDescent="0.2">
      <c r="A17" s="63"/>
      <c r="B17" s="61" t="s">
        <v>23</v>
      </c>
      <c r="C17" s="61"/>
      <c r="D17" s="61"/>
      <c r="E17" s="61"/>
      <c r="F17" s="65" t="s">
        <v>5</v>
      </c>
      <c r="G17" s="69">
        <f>[2]Taul1!F192</f>
        <v>-38450826.379999995</v>
      </c>
      <c r="H17" s="69">
        <f>[2]Taul1!G192</f>
        <v>-51835975</v>
      </c>
      <c r="I17" s="69"/>
      <c r="J17" s="69">
        <f>[2]Taul1!H192</f>
        <v>-58015000</v>
      </c>
      <c r="K17" s="69">
        <f>[2]Taul1!I192</f>
        <v>-84900000</v>
      </c>
      <c r="L17" s="70">
        <f>[2]Taul1!J192</f>
        <v>-90000000</v>
      </c>
      <c r="M17" s="33"/>
      <c r="N17" s="46"/>
      <c r="O17" s="33"/>
    </row>
    <row r="18" spans="1:18" x14ac:dyDescent="0.2">
      <c r="A18" s="63"/>
      <c r="B18" s="61" t="s">
        <v>6</v>
      </c>
      <c r="C18" s="61"/>
      <c r="D18" s="61"/>
      <c r="E18" s="61"/>
      <c r="F18" s="65" t="s">
        <v>7</v>
      </c>
      <c r="G18" s="69">
        <f>[2]Taul1!$F$194</f>
        <v>0</v>
      </c>
      <c r="H18" s="69">
        <f>[2]Taul1!G194</f>
        <v>0</v>
      </c>
      <c r="I18" s="69"/>
      <c r="J18" s="69">
        <f>[2]Taul1!$H$194</f>
        <v>0</v>
      </c>
      <c r="K18" s="69">
        <f>[2]Taul1!$I$194</f>
        <v>0</v>
      </c>
      <c r="L18" s="70">
        <f>[2]Taul1!$J$194</f>
        <v>0</v>
      </c>
      <c r="M18" s="33"/>
      <c r="N18" s="33"/>
      <c r="O18" s="33"/>
    </row>
    <row r="19" spans="1:18" x14ac:dyDescent="0.2">
      <c r="A19" s="63"/>
      <c r="B19" s="61" t="s">
        <v>24</v>
      </c>
      <c r="C19" s="61"/>
      <c r="D19" s="61"/>
      <c r="E19" s="61"/>
      <c r="F19" s="65" t="s">
        <v>7</v>
      </c>
      <c r="G19" s="71">
        <v>928472.55</v>
      </c>
      <c r="H19" s="72"/>
      <c r="I19" s="71"/>
      <c r="J19" s="71"/>
      <c r="K19" s="71"/>
      <c r="L19" s="72"/>
      <c r="M19" s="33"/>
      <c r="N19" s="33"/>
      <c r="O19" s="33"/>
    </row>
    <row r="20" spans="1:18" s="2" customFormat="1" ht="15" x14ac:dyDescent="0.25">
      <c r="A20" s="66" t="s">
        <v>25</v>
      </c>
      <c r="B20" s="67"/>
      <c r="C20" s="67"/>
      <c r="D20" s="67"/>
      <c r="E20" s="67"/>
      <c r="F20" s="68" t="s">
        <v>3</v>
      </c>
      <c r="G20" s="73">
        <f>SUM(G13:G19)</f>
        <v>-22049323.48000006</v>
      </c>
      <c r="H20" s="73" t="e">
        <f>SUM(H13:H19)</f>
        <v>#REF!</v>
      </c>
      <c r="I20" s="73"/>
      <c r="J20" s="73">
        <f t="shared" ref="J20:L20" si="0">SUM(J13:J19)</f>
        <v>-31788940</v>
      </c>
      <c r="K20" s="73">
        <f t="shared" si="0"/>
        <v>-59594156</v>
      </c>
      <c r="L20" s="74">
        <f t="shared" si="0"/>
        <v>-61100772</v>
      </c>
      <c r="M20" s="33"/>
      <c r="N20" s="34"/>
      <c r="O20" s="56"/>
      <c r="P20"/>
      <c r="Q20"/>
      <c r="R20"/>
    </row>
    <row r="21" spans="1:18" x14ac:dyDescent="0.2">
      <c r="A21" s="63"/>
      <c r="B21" s="61"/>
      <c r="C21" s="61"/>
      <c r="D21" s="61"/>
      <c r="E21" s="61"/>
      <c r="F21" s="64"/>
      <c r="G21" s="69"/>
      <c r="H21" s="69"/>
      <c r="I21" s="69"/>
      <c r="J21" s="69"/>
      <c r="K21" s="69"/>
      <c r="L21" s="70"/>
      <c r="M21" s="33"/>
      <c r="N21" s="33"/>
      <c r="O21" s="57"/>
    </row>
    <row r="22" spans="1:18" ht="15" x14ac:dyDescent="0.25">
      <c r="A22" s="66" t="s">
        <v>26</v>
      </c>
      <c r="B22" s="61"/>
      <c r="C22" s="61"/>
      <c r="D22" s="61"/>
      <c r="E22" s="61"/>
      <c r="F22" s="64"/>
      <c r="G22" s="27"/>
      <c r="H22" s="27"/>
      <c r="I22" s="27"/>
      <c r="J22" s="27"/>
      <c r="K22" s="27"/>
      <c r="L22" s="29"/>
      <c r="M22" s="33"/>
      <c r="N22" s="33"/>
      <c r="O22" s="57"/>
    </row>
    <row r="23" spans="1:18" x14ac:dyDescent="0.2">
      <c r="A23" s="60" t="s">
        <v>10</v>
      </c>
      <c r="B23" s="61"/>
      <c r="C23" s="61"/>
      <c r="D23" s="61"/>
      <c r="E23" s="61"/>
      <c r="F23" s="65"/>
      <c r="G23" s="27"/>
      <c r="H23" s="41"/>
      <c r="I23" s="41"/>
      <c r="J23" s="41"/>
      <c r="K23" s="27"/>
      <c r="L23" s="29"/>
      <c r="O23" s="32"/>
    </row>
    <row r="24" spans="1:18" x14ac:dyDescent="0.2">
      <c r="A24" s="63"/>
      <c r="B24" s="61" t="s">
        <v>11</v>
      </c>
      <c r="C24" s="61"/>
      <c r="D24" s="61"/>
      <c r="E24" s="61"/>
      <c r="F24" s="64" t="s">
        <v>5</v>
      </c>
      <c r="G24" s="41"/>
      <c r="H24" s="41"/>
      <c r="I24" s="41"/>
      <c r="J24" s="41"/>
      <c r="K24" s="27"/>
      <c r="L24" s="29"/>
    </row>
    <row r="25" spans="1:18" x14ac:dyDescent="0.2">
      <c r="A25" s="63"/>
      <c r="B25" s="61" t="s">
        <v>42</v>
      </c>
      <c r="C25" s="61"/>
      <c r="D25" s="61"/>
      <c r="E25" s="61"/>
      <c r="F25" s="64" t="s">
        <v>7</v>
      </c>
      <c r="G25" s="69">
        <v>250000</v>
      </c>
      <c r="H25" s="69">
        <v>500000</v>
      </c>
      <c r="I25" s="69"/>
      <c r="J25" s="27">
        <v>500000</v>
      </c>
      <c r="K25" s="42">
        <v>500000</v>
      </c>
      <c r="L25" s="43">
        <v>500000</v>
      </c>
    </row>
    <row r="26" spans="1:18" x14ac:dyDescent="0.2">
      <c r="A26" s="60" t="s">
        <v>12</v>
      </c>
      <c r="B26" s="61"/>
      <c r="C26" s="61"/>
      <c r="D26" s="61"/>
      <c r="E26" s="61"/>
      <c r="F26" s="64"/>
      <c r="G26" s="69"/>
      <c r="H26" s="69"/>
      <c r="I26" s="69"/>
      <c r="J26" s="27"/>
      <c r="K26" s="42"/>
      <c r="L26" s="43"/>
    </row>
    <row r="27" spans="1:18" x14ac:dyDescent="0.2">
      <c r="A27" s="60"/>
      <c r="B27" s="61" t="s">
        <v>8</v>
      </c>
      <c r="C27" s="61"/>
      <c r="D27" s="61"/>
      <c r="E27" s="61"/>
      <c r="F27" s="64" t="s">
        <v>7</v>
      </c>
      <c r="G27" s="69">
        <v>15000000</v>
      </c>
      <c r="H27" s="69">
        <v>46000000</v>
      </c>
      <c r="I27" s="69"/>
      <c r="J27" s="58"/>
      <c r="K27" s="58"/>
      <c r="L27" s="45"/>
    </row>
    <row r="28" spans="1:18" x14ac:dyDescent="0.2">
      <c r="A28" s="63"/>
      <c r="B28" s="61" t="s">
        <v>18</v>
      </c>
      <c r="C28" s="61"/>
      <c r="D28" s="61"/>
      <c r="E28" s="61"/>
      <c r="F28" s="64" t="s">
        <v>5</v>
      </c>
      <c r="G28" s="70">
        <v>-9239700.0399999991</v>
      </c>
      <c r="H28" s="70">
        <v>-11621000</v>
      </c>
      <c r="I28" s="70"/>
      <c r="J28" s="85">
        <v>-11621000</v>
      </c>
      <c r="K28" s="85">
        <v>-13228000</v>
      </c>
      <c r="L28" s="85">
        <v>-15392000</v>
      </c>
      <c r="M28" s="86"/>
      <c r="N28" s="87" t="s">
        <v>51</v>
      </c>
      <c r="O28" s="1"/>
      <c r="P28" s="1"/>
      <c r="Q28" s="33"/>
    </row>
    <row r="29" spans="1:18" x14ac:dyDescent="0.2">
      <c r="A29" s="63"/>
      <c r="B29" s="61" t="s">
        <v>13</v>
      </c>
      <c r="C29" s="61"/>
      <c r="D29" s="61"/>
      <c r="E29" s="61"/>
      <c r="F29" s="64" t="s">
        <v>3</v>
      </c>
      <c r="G29" s="70">
        <v>-106280</v>
      </c>
      <c r="H29" s="70"/>
      <c r="I29" s="70"/>
      <c r="J29" s="70"/>
      <c r="K29" s="70"/>
      <c r="L29" s="70"/>
      <c r="M29" s="86"/>
      <c r="N29" s="86"/>
    </row>
    <row r="30" spans="1:18" x14ac:dyDescent="0.2">
      <c r="A30" s="60" t="s">
        <v>14</v>
      </c>
      <c r="B30" s="61"/>
      <c r="C30" s="61"/>
      <c r="D30" s="61"/>
      <c r="E30" s="61"/>
      <c r="F30" s="64" t="s">
        <v>3</v>
      </c>
      <c r="G30" s="71">
        <v>2901513.29</v>
      </c>
      <c r="H30" s="71"/>
      <c r="I30" s="71"/>
      <c r="J30" s="71"/>
      <c r="K30" s="72"/>
      <c r="L30" s="72"/>
      <c r="M30" s="86"/>
      <c r="N30" s="86"/>
    </row>
    <row r="31" spans="1:18" ht="15" x14ac:dyDescent="0.25">
      <c r="A31" s="63" t="s">
        <v>26</v>
      </c>
      <c r="B31" s="61"/>
      <c r="C31" s="61"/>
      <c r="D31" s="61"/>
      <c r="E31" s="61"/>
      <c r="F31" s="64"/>
      <c r="G31" s="73">
        <f t="shared" ref="G31:L31" si="1">SUM(G24:G30)</f>
        <v>8805533.25</v>
      </c>
      <c r="H31" s="73">
        <f t="shared" si="1"/>
        <v>34879000</v>
      </c>
      <c r="I31" s="73"/>
      <c r="J31" s="73">
        <f t="shared" si="1"/>
        <v>-11121000</v>
      </c>
      <c r="K31" s="73">
        <f t="shared" si="1"/>
        <v>-12728000</v>
      </c>
      <c r="L31" s="74">
        <f t="shared" si="1"/>
        <v>-14892000</v>
      </c>
      <c r="M31" s="86"/>
      <c r="N31" s="86"/>
    </row>
    <row r="32" spans="1:18" x14ac:dyDescent="0.2">
      <c r="A32" s="60"/>
      <c r="B32" s="61"/>
      <c r="C32" s="61"/>
      <c r="D32" s="61"/>
      <c r="E32" s="61"/>
      <c r="F32" s="64"/>
      <c r="G32" s="69"/>
      <c r="H32" s="69"/>
      <c r="I32" s="69"/>
      <c r="J32" s="69"/>
      <c r="K32" s="69"/>
      <c r="L32" s="70"/>
      <c r="M32" s="86"/>
      <c r="N32" s="86"/>
    </row>
    <row r="33" spans="1:18" s="2" customFormat="1" ht="15.75" thickBot="1" x14ac:dyDescent="0.3">
      <c r="A33" s="66" t="s">
        <v>27</v>
      </c>
      <c r="B33" s="67"/>
      <c r="C33" s="67"/>
      <c r="D33" s="67"/>
      <c r="E33" s="67"/>
      <c r="F33" s="68" t="s">
        <v>3</v>
      </c>
      <c r="G33" s="75">
        <f>G20+G31</f>
        <v>-13243790.23000006</v>
      </c>
      <c r="H33" s="75" t="e">
        <f>H20+H31</f>
        <v>#REF!</v>
      </c>
      <c r="I33" s="75"/>
      <c r="J33" s="75">
        <f t="shared" ref="J33:L33" si="2">J20+J31</f>
        <v>-42909940</v>
      </c>
      <c r="K33" s="75">
        <f t="shared" si="2"/>
        <v>-72322156</v>
      </c>
      <c r="L33" s="75">
        <f t="shared" si="2"/>
        <v>-75992772</v>
      </c>
      <c r="M33" s="86"/>
      <c r="N33" s="86"/>
      <c r="O33"/>
      <c r="P33"/>
      <c r="Q33"/>
      <c r="R33"/>
    </row>
    <row r="34" spans="1:18" ht="15" thickTop="1" x14ac:dyDescent="0.2">
      <c r="A34" s="63"/>
      <c r="B34" s="61"/>
      <c r="C34" s="61"/>
      <c r="D34" s="61"/>
      <c r="E34" s="61"/>
      <c r="F34" s="65"/>
      <c r="G34" s="70"/>
      <c r="H34" s="70"/>
      <c r="I34" s="70"/>
      <c r="J34" s="70"/>
      <c r="K34" s="70"/>
      <c r="L34" s="70"/>
      <c r="M34" s="86"/>
      <c r="N34" s="86"/>
      <c r="O34" s="1"/>
    </row>
    <row r="35" spans="1:18" x14ac:dyDescent="0.2">
      <c r="A35" s="63" t="s">
        <v>28</v>
      </c>
      <c r="B35" s="61"/>
      <c r="C35" s="61"/>
      <c r="D35" s="61"/>
      <c r="E35" s="61"/>
      <c r="F35" s="65"/>
      <c r="G35" s="70">
        <v>8201964.5099999998</v>
      </c>
      <c r="H35" s="70" t="e">
        <f>G35+H33</f>
        <v>#REF!</v>
      </c>
      <c r="I35" s="70"/>
      <c r="J35" s="70" t="e">
        <f>H35+J33</f>
        <v>#REF!</v>
      </c>
      <c r="K35" s="70" t="e">
        <f t="shared" ref="K35:L35" si="3">J35+K33</f>
        <v>#REF!</v>
      </c>
      <c r="L35" s="70" t="e">
        <f t="shared" si="3"/>
        <v>#REF!</v>
      </c>
      <c r="M35" s="86"/>
      <c r="N35" s="87"/>
      <c r="O35" s="1"/>
    </row>
    <row r="36" spans="1:18" x14ac:dyDescent="0.2">
      <c r="A36" s="63" t="s">
        <v>29</v>
      </c>
      <c r="B36" s="61"/>
      <c r="C36" s="61"/>
      <c r="D36" s="61"/>
      <c r="E36" s="61"/>
      <c r="F36" s="65"/>
      <c r="G36" s="70">
        <v>15781365</v>
      </c>
      <c r="H36" s="70">
        <f>G35</f>
        <v>8201964.5099999998</v>
      </c>
      <c r="I36" s="70"/>
      <c r="J36" s="70" t="e">
        <f>H35</f>
        <v>#REF!</v>
      </c>
      <c r="K36" s="70" t="e">
        <f t="shared" ref="K36:L36" si="4">J35</f>
        <v>#REF!</v>
      </c>
      <c r="L36" s="70" t="e">
        <f t="shared" si="4"/>
        <v>#REF!</v>
      </c>
      <c r="M36" s="86"/>
      <c r="N36" s="86"/>
      <c r="O36" s="1"/>
    </row>
    <row r="37" spans="1:18" x14ac:dyDescent="0.2">
      <c r="A37" s="63"/>
      <c r="B37" s="61"/>
      <c r="C37" s="61"/>
      <c r="D37" s="61"/>
      <c r="E37" s="61"/>
      <c r="F37" s="65"/>
      <c r="G37" s="70"/>
      <c r="H37" s="70"/>
      <c r="I37" s="70"/>
      <c r="J37" s="70"/>
      <c r="K37" s="70"/>
      <c r="L37" s="70"/>
      <c r="M37" s="86"/>
      <c r="N37" s="86"/>
      <c r="O37" s="1"/>
    </row>
    <row r="38" spans="1:18" x14ac:dyDescent="0.2">
      <c r="A38" s="63"/>
      <c r="B38" s="61"/>
      <c r="C38" s="61"/>
      <c r="D38" s="61"/>
      <c r="E38" s="61"/>
      <c r="F38" s="65"/>
      <c r="G38" s="70"/>
      <c r="H38" s="70"/>
      <c r="I38" s="70"/>
      <c r="J38" s="70"/>
      <c r="K38" s="70"/>
      <c r="L38" s="70"/>
      <c r="M38" s="86"/>
      <c r="N38" s="86"/>
      <c r="O38" s="1"/>
    </row>
    <row r="39" spans="1:18" x14ac:dyDescent="0.2">
      <c r="A39" s="63" t="s">
        <v>16</v>
      </c>
      <c r="B39" s="61"/>
      <c r="C39" s="61"/>
      <c r="D39" s="61"/>
      <c r="E39" s="61"/>
      <c r="F39" s="65"/>
      <c r="G39" s="76">
        <f>216605069+G27+G28</f>
        <v>222365368.96000001</v>
      </c>
      <c r="H39" s="76">
        <f>G39+H27+H28</f>
        <v>256744368.96000001</v>
      </c>
      <c r="I39" s="76"/>
      <c r="J39" s="76">
        <f>H39+J27+J28</f>
        <v>245123368.96000001</v>
      </c>
      <c r="K39" s="76">
        <f t="shared" ref="K39:L39" si="5">J39+K27+K28</f>
        <v>231895368.96000001</v>
      </c>
      <c r="L39" s="76">
        <f t="shared" si="5"/>
        <v>216503368.96000001</v>
      </c>
      <c r="M39" s="86"/>
      <c r="N39" s="86"/>
      <c r="O39" s="1"/>
    </row>
    <row r="40" spans="1:18" x14ac:dyDescent="0.2">
      <c r="A40" s="63"/>
      <c r="B40" s="61"/>
      <c r="C40" s="61"/>
      <c r="D40" s="61"/>
      <c r="E40" s="61"/>
      <c r="F40" s="65"/>
      <c r="G40" s="76"/>
      <c r="H40" s="76"/>
      <c r="I40" s="76"/>
      <c r="J40" s="76"/>
      <c r="K40" s="76"/>
      <c r="L40" s="76"/>
      <c r="M40" s="86"/>
      <c r="N40" s="86"/>
    </row>
    <row r="41" spans="1:18" x14ac:dyDescent="0.2">
      <c r="A41" s="63" t="s">
        <v>39</v>
      </c>
      <c r="B41" s="61"/>
      <c r="C41" s="61"/>
      <c r="D41" s="61"/>
      <c r="E41" s="61"/>
      <c r="F41" s="65"/>
      <c r="G41" s="77">
        <f>(G20+G51+E66+E63+E69)/1000000</f>
        <v>-204.20100324000006</v>
      </c>
      <c r="H41" s="77" t="e">
        <f>(E69+E66+G51+G20+H20)/1000000</f>
        <v>#REF!</v>
      </c>
      <c r="I41" s="77"/>
      <c r="J41" s="77" t="e">
        <f>(J20+H20+G20+G51+E69)/1000000</f>
        <v>#REF!</v>
      </c>
      <c r="K41" s="77" t="e">
        <f>(G20+G51+H20+J20+K20)/1000000</f>
        <v>#REF!</v>
      </c>
      <c r="L41" s="77" t="e">
        <f>(H20+G20+J20+K20+L20)/1000000</f>
        <v>#REF!</v>
      </c>
      <c r="M41" s="86" t="s">
        <v>54</v>
      </c>
      <c r="N41" s="86"/>
    </row>
    <row r="42" spans="1:18" x14ac:dyDescent="0.2">
      <c r="A42" s="63"/>
      <c r="B42" s="61"/>
      <c r="C42" s="61"/>
      <c r="D42" s="61"/>
      <c r="E42" s="61"/>
      <c r="F42" s="62"/>
      <c r="G42" s="76"/>
      <c r="H42" s="76"/>
      <c r="I42" s="76"/>
      <c r="J42" s="76"/>
      <c r="K42" s="76"/>
      <c r="L42" s="76"/>
      <c r="M42" s="86"/>
      <c r="N42" s="86"/>
    </row>
    <row r="43" spans="1:18" x14ac:dyDescent="0.2">
      <c r="A43" s="63" t="s">
        <v>17</v>
      </c>
      <c r="B43" s="61"/>
      <c r="C43" s="61"/>
      <c r="D43" s="61"/>
      <c r="E43" s="61"/>
      <c r="F43" s="62"/>
      <c r="G43" s="77">
        <f>-100*G13/(G17+G18)</f>
        <v>15.699960360643715</v>
      </c>
      <c r="H43" s="77" t="e">
        <f>-100*H13/(H17+H18)</f>
        <v>#REF!</v>
      </c>
      <c r="I43" s="78"/>
      <c r="J43" s="78">
        <f t="shared" ref="J43:L43" si="6">-100*J13/(J17+J18)</f>
        <v>41.758269413082822</v>
      </c>
      <c r="K43" s="77">
        <f t="shared" si="6"/>
        <v>22.824210836277974</v>
      </c>
      <c r="L43" s="88">
        <f t="shared" si="6"/>
        <v>32.110253333333333</v>
      </c>
      <c r="M43" s="86" t="s">
        <v>52</v>
      </c>
      <c r="N43" s="86"/>
      <c r="P43" s="1"/>
      <c r="Q43" s="33"/>
    </row>
    <row r="44" spans="1:18" x14ac:dyDescent="0.2">
      <c r="A44" s="63"/>
      <c r="B44" s="61"/>
      <c r="C44" s="61"/>
      <c r="D44" s="61"/>
      <c r="E44" s="61"/>
      <c r="F44" s="62"/>
      <c r="G44" s="78"/>
      <c r="H44" s="77"/>
      <c r="I44" s="79"/>
      <c r="J44" s="79"/>
      <c r="K44" s="77"/>
      <c r="L44" s="88"/>
      <c r="M44" s="86"/>
      <c r="N44" s="86"/>
      <c r="P44" s="1"/>
      <c r="Q44" s="33"/>
    </row>
    <row r="45" spans="1:18" x14ac:dyDescent="0.2">
      <c r="A45" s="63" t="s">
        <v>30</v>
      </c>
      <c r="B45" s="61"/>
      <c r="C45" s="61"/>
      <c r="D45" s="61"/>
      <c r="E45" s="61"/>
      <c r="F45" s="62"/>
      <c r="G45" s="78">
        <f>(G13-[4]Taul1!$F$62)/-([4]Taul1!$F$62+G28)</f>
        <v>0.73010299525007838</v>
      </c>
      <c r="H45" s="77" t="e">
        <f>(H13-[4]Taul1!#REF!)/-([4]Taul1!#REF!+H28)</f>
        <v>#REF!</v>
      </c>
      <c r="I45" s="79"/>
      <c r="J45" s="79">
        <f>(J13-[4]Taul1!$L$62)/-([4]Taul1!$L$62+J28)</f>
        <v>1.8336128562925733</v>
      </c>
      <c r="K45" s="77">
        <f>(K13-[4]Taul1!N62)/-([4]Taul1!N62+K28)</f>
        <v>1.3632889295841211</v>
      </c>
      <c r="L45" s="88">
        <f>(L13-[4]Taul1!P62)/-([4]Taul1!P62+L28)</f>
        <v>1.6790281520209129</v>
      </c>
      <c r="M45" s="86" t="s">
        <v>52</v>
      </c>
      <c r="N45" s="86"/>
    </row>
    <row r="46" spans="1:18" x14ac:dyDescent="0.2">
      <c r="A46" s="63"/>
      <c r="B46" s="61"/>
      <c r="C46" s="61"/>
      <c r="D46" s="61"/>
      <c r="E46" s="61"/>
      <c r="F46" s="62"/>
      <c r="G46" s="79"/>
      <c r="H46" s="77"/>
      <c r="I46" s="79"/>
      <c r="J46" s="79"/>
      <c r="K46" s="77"/>
      <c r="L46" s="88"/>
      <c r="M46" s="86"/>
      <c r="N46" s="86"/>
    </row>
    <row r="47" spans="1:18" x14ac:dyDescent="0.2">
      <c r="A47" s="63" t="s">
        <v>31</v>
      </c>
      <c r="B47" s="61"/>
      <c r="C47" s="61"/>
      <c r="D47" s="61"/>
      <c r="E47" s="61"/>
      <c r="F47" s="62"/>
      <c r="G47" s="80">
        <f>365*G35/-([4]Taul1!F40-[4]Taul1!F38+[4]Taul1!F62+[4]Taul1!F63+G17+G24+G28)</f>
        <v>5.9496428767538765</v>
      </c>
      <c r="H47" s="76" t="e">
        <f>365*H35/-([4]Taul1!#REF!-[4]Taul1!#REF!+[4]Taul1!#REF!+[4]Taul1!#REF!+H17+H24+H28)</f>
        <v>#REF!</v>
      </c>
      <c r="I47" s="80"/>
      <c r="J47" s="80" t="e">
        <f>365*J35/-([4]Taul1!L40-[4]Taul1!L38+[4]Taul1!L62+[4]Taul1!L63+J17+J24+J28)</f>
        <v>#REF!</v>
      </c>
      <c r="K47" s="76" t="e">
        <f>365*K35/-([4]Taul1!N40-[4]Taul1!N38+[4]Taul1!N62+[4]Taul1!N63+K17+K24+K28)</f>
        <v>#REF!</v>
      </c>
      <c r="L47" s="89" t="e">
        <f>365*L35/-([4]Taul1!P40-[4]Taul1!P38+[4]Taul1!P62+[4]Taul1!P63+L17+L24+L28)</f>
        <v>#REF!</v>
      </c>
      <c r="M47" s="86" t="s">
        <v>52</v>
      </c>
      <c r="N47" s="86"/>
    </row>
    <row r="48" spans="1:18" x14ac:dyDescent="0.2">
      <c r="A48" s="21"/>
      <c r="B48" s="22"/>
      <c r="C48" s="22"/>
      <c r="D48" s="22"/>
      <c r="E48" s="22"/>
      <c r="F48" s="23"/>
      <c r="G48" s="81"/>
      <c r="H48" s="82"/>
      <c r="I48" s="81"/>
      <c r="J48" s="81"/>
      <c r="K48" s="82"/>
      <c r="L48" s="90"/>
      <c r="M48" s="86"/>
      <c r="N48" s="86"/>
    </row>
    <row r="49" spans="1:14" x14ac:dyDescent="0.2">
      <c r="A49" s="25"/>
      <c r="B49" s="25"/>
      <c r="C49" s="25"/>
      <c r="D49" s="25"/>
      <c r="E49" s="25"/>
      <c r="F49" s="25"/>
      <c r="G49" s="83"/>
      <c r="H49" s="83"/>
      <c r="I49" s="83"/>
      <c r="J49" s="83"/>
      <c r="K49" s="83"/>
      <c r="L49" s="83"/>
      <c r="M49" s="86"/>
      <c r="N49" s="86"/>
    </row>
    <row r="50" spans="1:14" x14ac:dyDescent="0.2">
      <c r="C50" s="35" t="s">
        <v>33</v>
      </c>
      <c r="E50" s="35" t="s">
        <v>32</v>
      </c>
      <c r="G50" s="84" t="s">
        <v>47</v>
      </c>
      <c r="H50" s="84"/>
      <c r="I50" s="84"/>
      <c r="J50" s="84"/>
      <c r="K50" s="84"/>
      <c r="L50" s="84"/>
      <c r="M50" s="86"/>
      <c r="N50" s="86"/>
    </row>
    <row r="51" spans="1:14" x14ac:dyDescent="0.2">
      <c r="C51" s="4">
        <f>C52-C53-C54-C55-C56</f>
        <v>-384270.16000000003</v>
      </c>
      <c r="E51" s="4">
        <f>E52-E53-E54-E55-E56</f>
        <v>-1849344.6900000002</v>
      </c>
      <c r="G51" s="84">
        <v>-31182440.690000001</v>
      </c>
      <c r="H51" s="84"/>
      <c r="I51" s="84"/>
      <c r="J51" s="84"/>
      <c r="K51" s="84"/>
      <c r="L51" s="84"/>
      <c r="M51" s="86"/>
      <c r="N51" s="86"/>
    </row>
    <row r="52" spans="1:14" x14ac:dyDescent="0.2">
      <c r="B52" s="3" t="s">
        <v>34</v>
      </c>
      <c r="C52" s="4">
        <v>-343421.37</v>
      </c>
      <c r="E52" s="4">
        <v>-2058645.87</v>
      </c>
      <c r="G52" s="84" t="s">
        <v>53</v>
      </c>
      <c r="H52" s="84"/>
      <c r="I52" s="84"/>
      <c r="J52" s="84"/>
      <c r="K52" s="84"/>
      <c r="L52" s="84"/>
      <c r="M52" s="86"/>
      <c r="N52" s="86"/>
    </row>
    <row r="53" spans="1:14" x14ac:dyDescent="0.2">
      <c r="B53" s="3" t="s">
        <v>35</v>
      </c>
      <c r="C53" s="4">
        <v>-11022</v>
      </c>
      <c r="E53" s="4">
        <v>-206806.43</v>
      </c>
      <c r="J53" s="84"/>
      <c r="K53" s="84"/>
      <c r="L53" s="84"/>
      <c r="M53" s="86"/>
      <c r="N53" s="86"/>
    </row>
    <row r="54" spans="1:14" x14ac:dyDescent="0.2">
      <c r="B54" s="3" t="s">
        <v>36</v>
      </c>
      <c r="C54" s="4">
        <v>101981.2</v>
      </c>
      <c r="E54" s="4">
        <v>-41108.11</v>
      </c>
    </row>
    <row r="55" spans="1:14" x14ac:dyDescent="0.2">
      <c r="B55" s="3" t="s">
        <v>37</v>
      </c>
      <c r="C55" s="4">
        <v>-154554.04</v>
      </c>
      <c r="E55" s="4">
        <v>-81650.38</v>
      </c>
    </row>
    <row r="56" spans="1:14" x14ac:dyDescent="0.2">
      <c r="B56" s="3" t="s">
        <v>38</v>
      </c>
      <c r="C56" s="4">
        <v>104443.63</v>
      </c>
      <c r="E56" s="4">
        <v>120263.74</v>
      </c>
    </row>
    <row r="58" spans="1:14" x14ac:dyDescent="0.2">
      <c r="E58" s="4" t="s">
        <v>40</v>
      </c>
    </row>
    <row r="59" spans="1:14" x14ac:dyDescent="0.2">
      <c r="E59" s="4" t="e">
        <f>E60-E61-#REF!-#REF!-#REF!</f>
        <v>#REF!</v>
      </c>
    </row>
    <row r="60" spans="1:14" x14ac:dyDescent="0.2">
      <c r="B60" s="4">
        <v>207365368.63</v>
      </c>
      <c r="E60" s="4">
        <v>-29625600.109999999</v>
      </c>
    </row>
    <row r="61" spans="1:14" x14ac:dyDescent="0.2">
      <c r="B61" s="4">
        <f>11891060.04-2651360</f>
        <v>9239700.0399999991</v>
      </c>
      <c r="E61" s="4">
        <v>70436.59</v>
      </c>
    </row>
    <row r="62" spans="1:14" x14ac:dyDescent="0.2">
      <c r="B62" s="4">
        <f>SUM(B60:B61)</f>
        <v>216605068.66999999</v>
      </c>
      <c r="E62" s="4" t="s">
        <v>41</v>
      </c>
    </row>
    <row r="63" spans="1:14" x14ac:dyDescent="0.2">
      <c r="E63" s="4">
        <v>-39107014</v>
      </c>
    </row>
    <row r="65" spans="5:5" x14ac:dyDescent="0.2">
      <c r="E65" s="37" t="s">
        <v>43</v>
      </c>
    </row>
    <row r="66" spans="5:5" x14ac:dyDescent="0.2">
      <c r="E66" s="37">
        <v>-65499193.140000001</v>
      </c>
    </row>
    <row r="68" spans="5:5" x14ac:dyDescent="0.2">
      <c r="E68" s="4" t="s">
        <v>44</v>
      </c>
    </row>
    <row r="69" spans="5:5" x14ac:dyDescent="0.2">
      <c r="E69" s="4">
        <v>-46363031.93</v>
      </c>
    </row>
  </sheetData>
  <phoneticPr fontId="6" type="noConversion"/>
  <printOptions gridLines="1" gridLinesSet="0"/>
  <pageMargins left="0.75" right="0.75" top="1" bottom="1" header="0.4921259845" footer="0.4921259845"/>
  <headerFooter alignWithMargins="0">
    <oddHeader>&amp;A</oddHeader>
    <oddFooter>Sivu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rintOptions gridLines="1" gridLinesSet="0"/>
  <pageMargins left="0.75" right="0.75" top="1" bottom="1" header="0.4921259845" footer="0.4921259845"/>
  <headerFooter alignWithMargins="0">
    <oddHeader>&amp;A</oddHeader>
    <oddFooter>Sivu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rintOptions gridLines="1" gridLinesSet="0"/>
  <pageMargins left="0.75" right="0.75" top="1" bottom="1" header="0.4921259845" footer="0.4921259845"/>
  <headerFooter alignWithMargins="0">
    <oddHeader>&amp;A</oddHeader>
    <oddFooter>Sivu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rintOptions gridLines="1" gridLinesSet="0"/>
  <pageMargins left="0.75" right="0.75" top="1" bottom="1" header="0.4921259845" footer="0.4921259845"/>
  <headerFooter alignWithMargins="0">
    <oddHeader>&amp;A</oddHeader>
    <oddFooter>Sivu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40" sqref="G36:G40"/>
    </sheetView>
  </sheetViews>
  <sheetFormatPr defaultRowHeight="12.75" x14ac:dyDescent="0.2"/>
  <sheetData/>
  <phoneticPr fontId="6" type="noConversion"/>
  <printOptions gridLines="1" gridLinesSet="0"/>
  <pageMargins left="0.75" right="0.75" top="1" bottom="1" header="0.4921259845" footer="0.4921259845"/>
  <headerFooter alignWithMargins="0">
    <oddHeader>&amp;A</oddHeader>
    <oddFooter>Sivu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rintOptions gridLines="1" gridLinesSet="0"/>
  <pageMargins left="0.75" right="0.75" top="1" bottom="1" header="0.4921259845" footer="0.4921259845"/>
  <headerFooter alignWithMargins="0">
    <oddHeader>&amp;A</oddHeader>
    <oddFooter>Sivu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rintOptions gridLines="1" gridLinesSet="0"/>
  <pageMargins left="0.75" right="0.75" top="1" bottom="1" header="0.4921259845" footer="0.4921259845"/>
  <headerFooter alignWithMargins="0">
    <oddHeader>&amp;A</oddHeader>
    <oddFooter>Sivu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16</vt:i4>
      </vt:variant>
      <vt:variant>
        <vt:lpstr>Nimetyt alueet</vt:lpstr>
      </vt:variant>
      <vt:variant>
        <vt:i4>2</vt:i4>
      </vt:variant>
    </vt:vector>
  </HeadingPairs>
  <TitlesOfParts>
    <vt:vector size="18" baseType="lpstr">
      <vt:lpstr>2020</vt:lpstr>
      <vt:lpstr> 2020 MUUTOS</vt:lpstr>
      <vt:lpstr>Taul2</vt:lpstr>
      <vt:lpstr>Taul4</vt:lpstr>
      <vt:lpstr>Taul5</vt:lpstr>
      <vt:lpstr>Taul6</vt:lpstr>
      <vt:lpstr>Taul7</vt:lpstr>
      <vt:lpstr>Taul8</vt:lpstr>
      <vt:lpstr>Taul9</vt:lpstr>
      <vt:lpstr>Taul10</vt:lpstr>
      <vt:lpstr>Taul11</vt:lpstr>
      <vt:lpstr>Taul12</vt:lpstr>
      <vt:lpstr>Taul13</vt:lpstr>
      <vt:lpstr>Taul14</vt:lpstr>
      <vt:lpstr>Taul15</vt:lpstr>
      <vt:lpstr>Taul16</vt:lpstr>
      <vt:lpstr>'2020'!Tulostusalue</vt:lpstr>
      <vt:lpstr>'2020'!Tulostusotsikot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KYS</dc:creator>
  <cp:lastModifiedBy>Kauppinen Marja-Leena</cp:lastModifiedBy>
  <cp:lastPrinted>2020-05-14T11:51:27Z</cp:lastPrinted>
  <dcterms:created xsi:type="dcterms:W3CDTF">1997-11-13T08:32:04Z</dcterms:created>
  <dcterms:modified xsi:type="dcterms:W3CDTF">2020-05-14T11:51:37Z</dcterms:modified>
</cp:coreProperties>
</file>